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ython.xml" ContentType="application/vnd.ms-excel.pyth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abbvie-my.sharepoint.com/personal/scott_altern_abbvie_com/Documents/Documents/Meilisa backup/Modeling Templates/"/>
    </mc:Choice>
  </mc:AlternateContent>
  <xr:revisionPtr revIDLastSave="2174" documentId="11_F25DC773A252ABDACC1048BE111A7C185BDE58EC" xr6:coauthVersionLast="47" xr6:coauthVersionMax="47" xr10:uidLastSave="{FD7BAF88-EC95-4E23-AE06-3D5DF4220EFE}"/>
  <bookViews>
    <workbookView xWindow="-108" yWindow="-108" windowWidth="23256" windowHeight="14016" xr2:uid="{00000000-000D-0000-FFFF-FFFF00000000}"/>
  </bookViews>
  <sheets>
    <sheet name="User Inputs-&gt;Outputs" sheetId="1" r:id="rId1"/>
    <sheet name="Transport Parameter Calculation" sheetId="2" r:id="rId2"/>
    <sheet name="List for component names" sheetId="4" state="hidden" r:id="rId3"/>
  </sheets>
  <definedNames>
    <definedName name="Ac">'Transport Parameter Calculation'!$C$9</definedName>
    <definedName name="As">'Transport Parameter Calculation'!$C$16</definedName>
    <definedName name="Bi_HMW">'Transport Parameter Calculation'!$I$77</definedName>
    <definedName name="Bi_LMW">'Transport Parameter Calculation'!$I$79</definedName>
    <definedName name="Bi_Monomer">'Transport Parameter Calculation'!$I$78</definedName>
    <definedName name="Bi_pH">'Transport Parameter Calculation'!$I$75</definedName>
    <definedName name="Bi_salt">'Transport Parameter Calculation'!$I$74</definedName>
    <definedName name="Bi_vHMW">'Transport Parameter Calculation'!$I$76</definedName>
    <definedName name="Bi_vLMW">'Transport Parameter Calculation'!$I$80</definedName>
    <definedName name="Bo">'Transport Parameter Calculation'!$I$83</definedName>
    <definedName name="col_id">'Transport Parameter Calculation'!$C$61</definedName>
    <definedName name="col_length">'Transport Parameter Calculation'!$C$62</definedName>
    <definedName name="col_vol">'Transport Parameter Calculation'!$C$73</definedName>
    <definedName name="D">'Transport Parameter Calculation'!$C$4</definedName>
    <definedName name="D_part">'Transport Parameter Calculation'!$C$8</definedName>
    <definedName name="Dax_col">'Transport Parameter Calculation'!$I$82</definedName>
    <definedName name="Dax_tubing">'Transport Parameter Calculation'!$I$84</definedName>
    <definedName name="Daxcol_HMW">'Transport Parameter Calculation'!#REF!</definedName>
    <definedName name="Daxcol_LMW">'Transport Parameter Calculation'!#REF!</definedName>
    <definedName name="Daxcol_Monomer">'Transport Parameter Calculation'!#REF!</definedName>
    <definedName name="Daxcol_pH">'Transport Parameter Calculation'!#REF!</definedName>
    <definedName name="Daxcol_salt">'Transport Parameter Calculation'!#REF!</definedName>
    <definedName name="Daxcol_vHMW">'Transport Parameter Calculation'!#REF!</definedName>
    <definedName name="Daxcol_vLMW">'Transport Parameter Calculation'!#REF!</definedName>
    <definedName name="Daxtubing_HMW">'Transport Parameter Calculation'!#REF!</definedName>
    <definedName name="Daxtubing_LMW">'Transport Parameter Calculation'!#REF!</definedName>
    <definedName name="Daxtubing_Monomer">'Transport Parameter Calculation'!#REF!</definedName>
    <definedName name="Daxtubing_pH">'Transport Parameter Calculation'!#REF!</definedName>
    <definedName name="Daxtubing_salt">'Transport Parameter Calculation'!#REF!</definedName>
    <definedName name="Daxtubing_vHMW">'Transport Parameter Calculation'!#REF!</definedName>
    <definedName name="Daxtubing_vLMW">'Transport Parameter Calculation'!#REF!</definedName>
    <definedName name="Do_HMW">'Transport Parameter Calculation'!$C$54</definedName>
    <definedName name="Do_LMW">'Transport Parameter Calculation'!$C$56</definedName>
    <definedName name="Do_Monomer">'Transport Parameter Calculation'!$C$55</definedName>
    <definedName name="Do_pH">'Transport Parameter Calculation'!$C$52</definedName>
    <definedName name="Do_salt">'Transport Parameter Calculation'!$C$51</definedName>
    <definedName name="Do_vHMW">'Transport Parameter Calculation'!$C$53</definedName>
    <definedName name="Do_vLMW">'Transport Parameter Calculation'!$C$57</definedName>
    <definedName name="Dp_HMW">'Transport Parameter Calculation'!$I$14</definedName>
    <definedName name="Dp_LMW">'Transport Parameter Calculation'!$I$16</definedName>
    <definedName name="Dp_Monomer">'Transport Parameter Calculation'!$I$15</definedName>
    <definedName name="Dp_pH">'Transport Parameter Calculation'!#REF!</definedName>
    <definedName name="Dp_salt">'Transport Parameter Calculation'!#REF!</definedName>
    <definedName name="Dp_vHMW">'Transport Parameter Calculation'!$I$13</definedName>
    <definedName name="Dp_vLMW">'Transport Parameter Calculation'!$I$17</definedName>
    <definedName name="Dpart">'Transport Parameter Calculation'!$C$63</definedName>
    <definedName name="DpMM_HMW">'Transport Parameter Calculation'!#REF!</definedName>
    <definedName name="DpMM_LMW">'Transport Parameter Calculation'!#REF!</definedName>
    <definedName name="DpMM_Monomer">'Transport Parameter Calculation'!#REF!</definedName>
    <definedName name="DpMM_pH">'Transport Parameter Calculation'!$I$20</definedName>
    <definedName name="DpMM_salt">'Transport Parameter Calculation'!$I$19</definedName>
    <definedName name="DpMM_vHMW">'Transport Parameter Calculation'!#REF!</definedName>
    <definedName name="DpMM_vLMW">'Transport Parameter Calculation'!#REF!</definedName>
    <definedName name="Ee">'Transport Parameter Calculation'!$C$5</definedName>
    <definedName name="Ep">'Transport Parameter Calculation'!$C$6</definedName>
    <definedName name="Et">'Transport Parameter Calculation'!$C$7</definedName>
    <definedName name="F">'Transport Parameter Calculation'!$C$11</definedName>
    <definedName name="flow_rate">'Transport Parameter Calculation'!$C$72</definedName>
    <definedName name="int_vel">'Transport Parameter Calculation'!$C$71</definedName>
    <definedName name="ionic_cap">'Transport Parameter Calculation'!$C$64</definedName>
    <definedName name="Kb">'Transport Parameter Calculation'!$C$48</definedName>
    <definedName name="keff_HMW">'Transport Parameter Calculation'!$I$53</definedName>
    <definedName name="keff_LMw">'Transport Parameter Calculation'!$I$55</definedName>
    <definedName name="keff_Monomer">'Transport Parameter Calculation'!$I$54</definedName>
    <definedName name="keff_pH">'Transport Parameter Calculation'!$I$51</definedName>
    <definedName name="keff_salt">'Transport Parameter Calculation'!$I$50</definedName>
    <definedName name="keff_vHMW">'Transport Parameter Calculation'!$I$52</definedName>
    <definedName name="keff_vLMW">'Transport Parameter Calculation'!$I$56</definedName>
    <definedName name="kf_HMW">'Transport Parameter Calculation'!$I$61</definedName>
    <definedName name="kf_LMW">'Transport Parameter Calculation'!$I$63</definedName>
    <definedName name="kf_Monomer">'Transport Parameter Calculation'!$I$62</definedName>
    <definedName name="kf_pH">'Transport Parameter Calculation'!$I$59</definedName>
    <definedName name="kf_salt">'Transport Parameter Calculation'!$I$58</definedName>
    <definedName name="kf_vHMW">'Transport Parameter Calculation'!$I$60</definedName>
    <definedName name="kf_vLMW">'Transport Parameter Calculation'!$I$64</definedName>
    <definedName name="kfilm_HMW">'Transport Parameter Calculation'!$I$45</definedName>
    <definedName name="kfilm_LMW">'Transport Parameter Calculation'!$I$47</definedName>
    <definedName name="kfilm_Monomer">'Transport Parameter Calculation'!$I$46</definedName>
    <definedName name="kfilm_pH">'Transport Parameter Calculation'!$I$43</definedName>
    <definedName name="kfilm_salt">'Transport Parameter Calculation'!$I$42</definedName>
    <definedName name="kfilm_vHMW">'Transport Parameter Calculation'!$I$44</definedName>
    <definedName name="kfilm_vLMW">'Transport Parameter Calculation'!$I$48</definedName>
    <definedName name="kp_HMW">'Transport Parameter Calculation'!$I$69</definedName>
    <definedName name="kp_LMW">'Transport Parameter Calculation'!$I$71</definedName>
    <definedName name="kp_Monomer">'Transport Parameter Calculation'!$I$70</definedName>
    <definedName name="kp_pH">'Transport Parameter Calculation'!$I$67</definedName>
    <definedName name="kp_salt">'Transport Parameter Calculation'!$I$66</definedName>
    <definedName name="kp_vHMW">'Transport Parameter Calculation'!$I$68</definedName>
    <definedName name="kp_vLMW">'Transport Parameter Calculation'!$I$72</definedName>
    <definedName name="L">'Transport Parameter Calculation'!$C$3</definedName>
    <definedName name="lambda_HMW">'Transport Parameter Calculation'!$C$44</definedName>
    <definedName name="lambda_LMW">'Transport Parameter Calculation'!$C$46</definedName>
    <definedName name="lambda_Monomer">'Transport Parameter Calculation'!$C$45</definedName>
    <definedName name="lambda_pH">'Transport Parameter Calculation'!$C$42</definedName>
    <definedName name="lambda_salt">'Transport Parameter Calculation'!$C$41</definedName>
    <definedName name="lambda_vHMW">'Transport Parameter Calculation'!$C$43</definedName>
    <definedName name="lambda_vLMW">'Transport Parameter Calculation'!$C$47</definedName>
    <definedName name="lin_vel">'Transport Parameter Calculation'!$C$70</definedName>
    <definedName name="MW_HMW">'Transport Parameter Calculation'!$C$28</definedName>
    <definedName name="MW_LMW">'Transport Parameter Calculation'!$C$30</definedName>
    <definedName name="MW_Monomer">'Transport Parameter Calculation'!$C$29</definedName>
    <definedName name="MW_pH">'Transport Parameter Calculation'!$C$26</definedName>
    <definedName name="MW_salt">'Transport Parameter Calculation'!$C$25</definedName>
    <definedName name="MW_vHMW">'Transport Parameter Calculation'!$C$27</definedName>
    <definedName name="MW_vLMW">'Transport Parameter Calculation'!$C$31</definedName>
    <definedName name="MWHMW">'Transport Parameter Calculation'!$C$28</definedName>
    <definedName name="MWpH">'Transport Parameter Calculation'!$C$26</definedName>
    <definedName name="MWsalt">'Transport Parameter Calculation'!$C$25</definedName>
    <definedName name="MWvHMW">'Transport Parameter Calculation'!$C$27</definedName>
    <definedName name="nu">'Transport Parameter Calculation'!$C$18</definedName>
    <definedName name="Pe">'Transport Parameter Calculation'!$I$81</definedName>
    <definedName name="Pe_HMW">'Transport Parameter Calculation'!#REF!</definedName>
    <definedName name="Pe_LMW">'Transport Parameter Calculation'!#REF!</definedName>
    <definedName name="Pe_Monomer">'Transport Parameter Calculation'!#REF!</definedName>
    <definedName name="Pe_pH">'Transport Parameter Calculation'!#REF!</definedName>
    <definedName name="Pe_salt">'Transport Parameter Calculation'!#REF!</definedName>
    <definedName name="Pe_vHMW">'Transport Parameter Calculation'!#REF!</definedName>
    <definedName name="Pe_vLMW">'Transport Parameter Calculation'!#REF!</definedName>
    <definedName name="psi_HMW">'Transport Parameter Calculation'!$I$8</definedName>
    <definedName name="psi_LMW">'Transport Parameter Calculation'!$I$10</definedName>
    <definedName name="psi_Monomer">'Transport Parameter Calculation'!$I$9</definedName>
    <definedName name="psi_pH">'Transport Parameter Calculation'!$I$6</definedName>
    <definedName name="psi_salt">'Transport Parameter Calculation'!$I$5</definedName>
    <definedName name="psi_vHMW">'Transport Parameter Calculation'!$I$7</definedName>
    <definedName name="psi_vLMW">'Transport Parameter Calculation'!$I$11</definedName>
    <definedName name="qR">'Transport Parameter Calculation'!$C$14</definedName>
    <definedName name="qRs">'Transport Parameter Calculation'!$C$15</definedName>
    <definedName name="Re">'Transport Parameter Calculation'!$I$24</definedName>
    <definedName name="residence_time">'Transport Parameter Calculation'!$C$69</definedName>
    <definedName name="rho">'Transport Parameter Calculation'!$C$58</definedName>
    <definedName name="Rhyd_HMW">'Transport Parameter Calculation'!$C$36</definedName>
    <definedName name="Rhyd_LMW">'Transport Parameter Calculation'!$C$38</definedName>
    <definedName name="Rhyd_Monomer">'Transport Parameter Calculation'!$C$37</definedName>
    <definedName name="Rhyd_pH">'Transport Parameter Calculation'!$C$34</definedName>
    <definedName name="Rhyd_salt">'Transport Parameter Calculation'!$C$33</definedName>
    <definedName name="Rhyd_vHMW">'Transport Parameter Calculation'!$C$35</definedName>
    <definedName name="Rhyd_vLMW">'Transport Parameter Calculation'!$C$39</definedName>
    <definedName name="Rpore">'Transport Parameter Calculation'!$C$20</definedName>
    <definedName name="Sc_HMW">'Transport Parameter Calculation'!$I$29</definedName>
    <definedName name="Sc_LMW">'Transport Parameter Calculation'!$I$31</definedName>
    <definedName name="Sc_Monomer">'Transport Parameter Calculation'!$I$30</definedName>
    <definedName name="Sc_pH">'Transport Parameter Calculation'!$I$27</definedName>
    <definedName name="Sc_salt">'Transport Parameter Calculation'!$I$26</definedName>
    <definedName name="Sc_vHMW">'Transport Parameter Calculation'!$I$28</definedName>
    <definedName name="Sc_vLMW">'Transport Parameter Calculation'!$I$32</definedName>
    <definedName name="Sh_HMW">'Transport Parameter Calculation'!$I$37</definedName>
    <definedName name="Sh_LMW">'Transport Parameter Calculation'!$I$39</definedName>
    <definedName name="Sh_Monomer">'Transport Parameter Calculation'!$I$38</definedName>
    <definedName name="Sh_pH">'Transport Parameter Calculation'!$I$35</definedName>
    <definedName name="Sh_salt">'Transport Parameter Calculation'!$I$34</definedName>
    <definedName name="Sh_vHMW">'Transport Parameter Calculation'!$I$36</definedName>
    <definedName name="Sh_vLMW">'Transport Parameter Calculation'!$I$40</definedName>
    <definedName name="T">'Transport Parameter Calculation'!$C$49</definedName>
    <definedName name="tau">'Transport Parameter Calculation'!$C$19</definedName>
    <definedName name="tubing_id">'Transport Parameter Calculation'!$C$13</definedName>
    <definedName name="tubing_vol">'Transport Parameter Calculation'!$C$12</definedName>
    <definedName name="tubingid">'Transport Parameter Calculation'!$C$65</definedName>
    <definedName name="tubingvol">'Transport Parameter Calculation'!$C$66</definedName>
    <definedName name="u">'Transport Parameter Calculation'!$C$17</definedName>
    <definedName name="V">'Transport Parameter Calculation'!$C$10</definedName>
    <definedName name="visc">'Transport Parameter Calculation'!$C$21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 r="H20" i="2"/>
  <c r="H19" i="2"/>
  <c r="H14" i="2"/>
  <c r="H15" i="2"/>
  <c r="H16" i="2"/>
  <c r="H17" i="2"/>
  <c r="H13" i="2"/>
  <c r="H80" i="2"/>
  <c r="H79" i="2"/>
  <c r="H78" i="2"/>
  <c r="H77" i="2"/>
  <c r="H76" i="2"/>
  <c r="H75" i="2"/>
  <c r="H74" i="2"/>
  <c r="H72" i="2"/>
  <c r="H71" i="2"/>
  <c r="H70" i="2"/>
  <c r="H69" i="2"/>
  <c r="H68" i="2"/>
  <c r="H67" i="2"/>
  <c r="H66" i="2"/>
  <c r="H64" i="2"/>
  <c r="H63" i="2"/>
  <c r="H62" i="2"/>
  <c r="H61" i="2"/>
  <c r="H60" i="2"/>
  <c r="H59" i="2"/>
  <c r="H58" i="2"/>
  <c r="H56" i="2"/>
  <c r="H55" i="2"/>
  <c r="H54" i="2"/>
  <c r="H53" i="2"/>
  <c r="H52" i="2"/>
  <c r="H51" i="2"/>
  <c r="H50" i="2"/>
  <c r="H48" i="2"/>
  <c r="H47" i="2"/>
  <c r="H46" i="2"/>
  <c r="H45" i="2"/>
  <c r="H44" i="2"/>
  <c r="H43" i="2"/>
  <c r="H42" i="2"/>
  <c r="H40" i="2"/>
  <c r="H39" i="2"/>
  <c r="H38" i="2"/>
  <c r="H37" i="2"/>
  <c r="H36" i="2"/>
  <c r="H35" i="2"/>
  <c r="H34" i="2"/>
  <c r="H32" i="2"/>
  <c r="H31" i="2"/>
  <c r="H30" i="2"/>
  <c r="H29" i="2"/>
  <c r="H28" i="2"/>
  <c r="H27" i="2"/>
  <c r="H26" i="2"/>
  <c r="H11" i="2"/>
  <c r="H10" i="2"/>
  <c r="H9" i="2"/>
  <c r="H8" i="2"/>
  <c r="H7" i="2"/>
  <c r="H6" i="2"/>
  <c r="H5" i="2"/>
  <c r="B57" i="2"/>
  <c r="B56" i="2"/>
  <c r="B55" i="2"/>
  <c r="B54" i="2"/>
  <c r="B53" i="2"/>
  <c r="B52" i="2"/>
  <c r="B51" i="2"/>
  <c r="B47" i="2"/>
  <c r="B46" i="2"/>
  <c r="B45" i="2"/>
  <c r="B44" i="2"/>
  <c r="B43" i="2"/>
  <c r="B42" i="2"/>
  <c r="B41" i="2"/>
  <c r="B39" i="2"/>
  <c r="B38" i="2"/>
  <c r="B37" i="2"/>
  <c r="B36" i="2"/>
  <c r="B35" i="2"/>
  <c r="B34" i="2"/>
  <c r="B33" i="2"/>
  <c r="B31" i="2"/>
  <c r="B30" i="2"/>
  <c r="B29" i="2"/>
  <c r="B28" i="2"/>
  <c r="B27" i="2"/>
  <c r="B26" i="2"/>
  <c r="B25" i="2"/>
  <c r="C57" i="2"/>
  <c r="C47" i="2"/>
  <c r="C39" i="2"/>
  <c r="C33" i="2"/>
  <c r="C30" i="2"/>
  <c r="C38" i="2" s="1"/>
  <c r="C29" i="2"/>
  <c r="C37" i="2" s="1"/>
  <c r="C28" i="2"/>
  <c r="C36" i="2" s="1"/>
  <c r="C27" i="2"/>
  <c r="C35" i="2" s="1"/>
  <c r="C26" i="2"/>
  <c r="C34" i="2" s="1"/>
  <c r="C25" i="2"/>
  <c r="C31" i="2"/>
  <c r="C14" i="2" l="1"/>
  <c r="C16" i="2"/>
  <c r="C19" i="2"/>
  <c r="C8" i="2"/>
  <c r="H25" i="1"/>
  <c r="H26" i="1"/>
  <c r="H27" i="1"/>
  <c r="H28" i="1"/>
  <c r="H24" i="1"/>
  <c r="H17" i="1"/>
  <c r="H18" i="1"/>
  <c r="H19" i="1"/>
  <c r="H20" i="1"/>
  <c r="H16" i="1"/>
  <c r="H10" i="1"/>
  <c r="H11" i="1"/>
  <c r="H12" i="1"/>
  <c r="H9" i="1"/>
  <c r="H8" i="1"/>
  <c r="C6" i="2"/>
  <c r="C5" i="2"/>
  <c r="C21" i="2" l="1"/>
  <c r="C66" i="2" l="1"/>
  <c r="C69" i="2"/>
  <c r="D35" i="1"/>
  <c r="D33" i="1"/>
  <c r="D31" i="1"/>
  <c r="C49" i="2"/>
  <c r="C58" i="2"/>
  <c r="O41" i="2"/>
  <c r="O40" i="2"/>
  <c r="O39" i="2"/>
  <c r="O38" i="2"/>
  <c r="O37" i="2"/>
  <c r="O36" i="2"/>
  <c r="O35" i="2"/>
  <c r="C20" i="2"/>
  <c r="C63" i="2"/>
  <c r="O5" i="2" s="1"/>
  <c r="C4" i="2"/>
  <c r="C3" i="2"/>
  <c r="C52" i="2" l="1"/>
  <c r="C51" i="2"/>
  <c r="C53" i="2"/>
  <c r="C54" i="2"/>
  <c r="C56" i="2"/>
  <c r="C55" i="2"/>
  <c r="C43" i="2"/>
  <c r="C42" i="2"/>
  <c r="C46" i="2"/>
  <c r="C41" i="2"/>
  <c r="C44" i="2"/>
  <c r="C65" i="2"/>
  <c r="C62" i="2"/>
  <c r="O4" i="2" s="1"/>
  <c r="C61" i="2"/>
  <c r="O3" i="2" s="1"/>
  <c r="I32" i="2"/>
  <c r="I31" i="2"/>
  <c r="I30" i="2"/>
  <c r="I29" i="2"/>
  <c r="I7" i="2"/>
  <c r="I6" i="2"/>
  <c r="C74" i="2"/>
  <c r="C9" i="2"/>
  <c r="C10" i="2" s="1"/>
  <c r="C11" i="2" s="1"/>
  <c r="I5" i="2" l="1"/>
  <c r="C45" i="2"/>
  <c r="C73" i="2"/>
  <c r="O42" i="2" s="1"/>
  <c r="I27" i="2"/>
  <c r="C70" i="2"/>
  <c r="C72" i="2"/>
  <c r="O17" i="2" s="1"/>
  <c r="C17" i="2"/>
  <c r="C18" i="2" s="1"/>
  <c r="O14" i="2" l="1"/>
  <c r="I32" i="1"/>
  <c r="I26" i="2"/>
  <c r="O34" i="2"/>
  <c r="I83" i="2"/>
  <c r="I9" i="2"/>
  <c r="I11" i="2"/>
  <c r="I8" i="2"/>
  <c r="I10" i="2"/>
  <c r="I28" i="2"/>
  <c r="C71" i="2"/>
  <c r="O18" i="2" s="1"/>
  <c r="I24" i="2"/>
  <c r="I81" i="2" s="1"/>
  <c r="I82" i="2" s="1"/>
  <c r="O6" i="2" s="1"/>
  <c r="I29" i="1" l="1"/>
  <c r="I84" i="2"/>
  <c r="I34" i="2"/>
  <c r="I42" i="2" s="1"/>
  <c r="I40" i="2"/>
  <c r="I48" i="2" s="1"/>
  <c r="I39" i="2"/>
  <c r="I47" i="2" s="1"/>
  <c r="I38" i="2"/>
  <c r="I46" i="2" s="1"/>
  <c r="I37" i="2"/>
  <c r="I45" i="2" s="1"/>
  <c r="I36" i="2"/>
  <c r="I44" i="2" s="1"/>
  <c r="I35" i="2"/>
  <c r="I43" i="2" s="1"/>
  <c r="O43" i="2" l="1"/>
  <c r="O27" i="2"/>
  <c r="O28" i="2"/>
  <c r="O29" i="2"/>
  <c r="O30" i="2"/>
  <c r="O31" i="2"/>
  <c r="O32" i="2"/>
  <c r="I28" i="1" s="1"/>
  <c r="I58" i="2"/>
  <c r="O44" i="2" s="1"/>
  <c r="O26" i="2"/>
  <c r="I63" i="2"/>
  <c r="O49" i="2" s="1"/>
  <c r="I59" i="2"/>
  <c r="O45" i="2" s="1"/>
  <c r="I60" i="2"/>
  <c r="O46" i="2" s="1"/>
  <c r="I61" i="2"/>
  <c r="O47" i="2" s="1"/>
  <c r="I62" i="2"/>
  <c r="O48" i="2" s="1"/>
  <c r="I64" i="2"/>
  <c r="O50" i="2" s="1"/>
  <c r="I27" i="1" l="1"/>
  <c r="I26" i="1"/>
  <c r="I25" i="1"/>
  <c r="I22" i="1"/>
  <c r="I24" i="1"/>
  <c r="I23" i="1"/>
  <c r="I30" i="1"/>
  <c r="I15" i="2"/>
  <c r="O11" i="2" s="1"/>
  <c r="I19" i="2"/>
  <c r="I74" i="2" s="1"/>
  <c r="I16" i="2"/>
  <c r="I79" i="2" s="1"/>
  <c r="I17" i="2"/>
  <c r="I72" i="2" s="1"/>
  <c r="O57" i="2" s="1"/>
  <c r="I14" i="2"/>
  <c r="I77" i="2" s="1"/>
  <c r="I33" i="1"/>
  <c r="O15" i="2"/>
  <c r="I20" i="2"/>
  <c r="O8" i="2" s="1"/>
  <c r="C7" i="2"/>
  <c r="I13" i="2"/>
  <c r="O9" i="2" s="1"/>
  <c r="I6" i="1" l="1"/>
  <c r="I8" i="1"/>
  <c r="I10" i="1"/>
  <c r="O16" i="2"/>
  <c r="C15" i="2"/>
  <c r="I80" i="2"/>
  <c r="O13" i="2"/>
  <c r="I12" i="1" s="1"/>
  <c r="I76" i="2"/>
  <c r="I75" i="2"/>
  <c r="I66" i="2"/>
  <c r="O51" i="2" s="1"/>
  <c r="I53" i="2"/>
  <c r="O22" i="2" s="1"/>
  <c r="I69" i="2"/>
  <c r="O54" i="2" s="1"/>
  <c r="O10" i="2"/>
  <c r="I68" i="2"/>
  <c r="O53" i="2" s="1"/>
  <c r="O7" i="2"/>
  <c r="I34" i="1"/>
  <c r="I78" i="2"/>
  <c r="I50" i="2"/>
  <c r="O19" i="2" s="1"/>
  <c r="I56" i="2"/>
  <c r="O25" i="2" s="1"/>
  <c r="I20" i="1" s="1"/>
  <c r="O12" i="2"/>
  <c r="I51" i="2"/>
  <c r="O20" i="2" s="1"/>
  <c r="I54" i="2"/>
  <c r="O23" i="2" s="1"/>
  <c r="I55" i="2"/>
  <c r="O24" i="2" s="1"/>
  <c r="I67" i="2"/>
  <c r="O52" i="2" s="1"/>
  <c r="I71" i="2"/>
  <c r="O56" i="2" s="1"/>
  <c r="I70" i="2"/>
  <c r="O55" i="2" s="1"/>
  <c r="I52" i="2"/>
  <c r="O21" i="2" s="1"/>
  <c r="I15" i="1" l="1"/>
  <c r="I11" i="1"/>
  <c r="I14" i="1"/>
  <c r="I5" i="1"/>
  <c r="I9" i="1"/>
  <c r="I16" i="1"/>
  <c r="I17" i="1"/>
  <c r="I19" i="1"/>
  <c r="I18" i="1"/>
  <c r="C64" i="2"/>
  <c r="O33" i="2" s="1"/>
  <c r="I36" i="1"/>
  <c r="I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Meilisa</author>
  </authors>
  <commentList>
    <comment ref="B32" authorId="0" shapeId="0" xr:uid="{88EE915B-8032-46D0-86F0-90A4641DBD95}">
      <text>
        <r>
          <rPr>
            <b/>
            <sz val="9"/>
            <color indexed="81"/>
            <rFont val="Tahoma"/>
            <family val="2"/>
          </rPr>
          <t xml:space="preserve">Thomas, Meilisa
</t>
        </r>
        <r>
          <rPr>
            <sz val="9"/>
            <color indexed="81"/>
            <rFont val="Tahoma"/>
            <family val="2"/>
          </rPr>
          <t>Sodium Nitrate, Acetone, etc.</t>
        </r>
      </text>
    </comment>
    <comment ref="B34" authorId="0" shapeId="0" xr:uid="{52B738E6-990D-495B-A949-AB588641515D}">
      <text>
        <r>
          <rPr>
            <b/>
            <sz val="9"/>
            <color indexed="81"/>
            <rFont val="Tahoma"/>
            <family val="2"/>
          </rPr>
          <t>Thomas, Meilisa:</t>
        </r>
        <r>
          <rPr>
            <sz val="9"/>
            <color indexed="81"/>
            <rFont val="Tahoma"/>
            <family val="2"/>
          </rPr>
          <t xml:space="preserve">
2000 kDa dextrans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Thomas, Meilisa</author>
  </authors>
  <commentList>
    <comment ref="B74" authorId="0" shapeId="0" xr:uid="{7F4CCEBA-C8D1-4E4B-A4EC-B599F85206D0}">
      <text>
        <r>
          <rPr>
            <b/>
            <sz val="9"/>
            <color indexed="81"/>
            <rFont val="Tahoma"/>
            <family val="2"/>
          </rPr>
          <t>Thomas, Meilisa:</t>
        </r>
        <r>
          <rPr>
            <sz val="9"/>
            <color indexed="81"/>
            <rFont val="Tahoma"/>
            <family val="2"/>
          </rPr>
          <t xml:space="preserve">
may or may not work as intended
</t>
        </r>
      </text>
    </comment>
  </commentList>
</comments>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<sst xmlns="http://schemas.openxmlformats.org/spreadsheetml/2006/main" count="245" uniqueCount="210">
  <si>
    <t>Column and Resin Parameters</t>
  </si>
  <si>
    <t>Bed height (cm)</t>
  </si>
  <si>
    <t>Inner diameter (cm)</t>
  </si>
  <si>
    <t>Protein and solution parameters</t>
  </si>
  <si>
    <t>Viscosity (kg/(m*s))</t>
  </si>
  <si>
    <t>Temperature (K)</t>
  </si>
  <si>
    <t>Operating Parameters</t>
  </si>
  <si>
    <t>Residence time (min)</t>
  </si>
  <si>
    <t>Total porosity</t>
  </si>
  <si>
    <t>Column volume (mL)</t>
  </si>
  <si>
    <t>Resin Average Particle Diameter (um)</t>
  </si>
  <si>
    <t>Column length (cm)</t>
  </si>
  <si>
    <t>Column diameter (cm)</t>
  </si>
  <si>
    <t>Interstitial porosity</t>
  </si>
  <si>
    <t>Intraparticle porosity</t>
  </si>
  <si>
    <t>Average particle diameter (um)</t>
  </si>
  <si>
    <t>Flow rate (CV/s)</t>
  </si>
  <si>
    <t>Pre-column tubing (mL)</t>
  </si>
  <si>
    <t>Tubing inner diameter (mm)</t>
  </si>
  <si>
    <t>Linear velocity (cm/s)</t>
  </si>
  <si>
    <t>Interstitial velocity (cm/s)</t>
  </si>
  <si>
    <t>Physical parameters</t>
  </si>
  <si>
    <t>Protein Inputs</t>
  </si>
  <si>
    <t>Molecular weights (kDa), salt &amp; pH &amp; proteins</t>
  </si>
  <si>
    <t>Correlation for hydrodynamic radius (nm)</t>
  </si>
  <si>
    <t>Molecular diffusivity (m^2/s)</t>
  </si>
  <si>
    <t>Column inner diameter (m)</t>
  </si>
  <si>
    <t>Column length (m)</t>
  </si>
  <si>
    <t>Tubing inner diameter (m)</t>
  </si>
  <si>
    <t>More calculations</t>
  </si>
  <si>
    <t>Linear velocity</t>
  </si>
  <si>
    <t>Interstitial velocity</t>
  </si>
  <si>
    <t>Unit Conversions (all to SI - m, mol, s)</t>
  </si>
  <si>
    <t>Transport parameter calculations</t>
  </si>
  <si>
    <t>Higdon/Muldowney 1995 Pore hindrance - see Deen 2006 for overview of pore hindrance equations</t>
  </si>
  <si>
    <t>Effective pore diffusivity</t>
  </si>
  <si>
    <t>Calculate film MT and effective MT for all components</t>
  </si>
  <si>
    <t>Sherwood number, mass transfer - Wilson and Geankopolis 1966</t>
  </si>
  <si>
    <t>Film mass transfer coeff (m/s)</t>
  </si>
  <si>
    <t>Column peclet number, dispersion - Rastegar &amp; Gu 2017</t>
  </si>
  <si>
    <t>Dispersion for tubing (pre-column) - Taylor expression (1953)</t>
  </si>
  <si>
    <t>Arrange inputs</t>
  </si>
  <si>
    <t>salt</t>
  </si>
  <si>
    <t>vHMW</t>
  </si>
  <si>
    <t>HMW</t>
  </si>
  <si>
    <t>Monomer</t>
  </si>
  <si>
    <t>LMW</t>
  </si>
  <si>
    <t>vLMW</t>
  </si>
  <si>
    <t>Number of components</t>
  </si>
  <si>
    <t>pH</t>
  </si>
  <si>
    <t>lambda</t>
  </si>
  <si>
    <t>Reynolds number</t>
  </si>
  <si>
    <t>Schmidt number</t>
  </si>
  <si>
    <t>Particle diameter (m)</t>
  </si>
  <si>
    <t>Bond number</t>
  </si>
  <si>
    <t>Effective mass transfer coeff (m/s) k_eff</t>
  </si>
  <si>
    <t>Pore diffusion mass transfer rate (m/s) k_pore</t>
  </si>
  <si>
    <t>For porosity calculations</t>
  </si>
  <si>
    <t>Resin pore size (nm)</t>
  </si>
  <si>
    <t>Biot number</t>
  </si>
  <si>
    <t>Molecular weights (kDa)</t>
  </si>
  <si>
    <t>Injection material</t>
  </si>
  <si>
    <t>Material 1 (small size)</t>
  </si>
  <si>
    <t>Material 2 (large size)</t>
  </si>
  <si>
    <t>averaged volume</t>
  </si>
  <si>
    <t>Residence time (s)</t>
  </si>
  <si>
    <t>Retention volume (mL)</t>
  </si>
  <si>
    <t>No column injection (dead volume)</t>
  </si>
  <si>
    <t>Effective pore diffusivity for small molecules - Mackie-Meares for salt &amp; pH</t>
  </si>
  <si>
    <t>Film mass transfer rate (m/s) k_f</t>
  </si>
  <si>
    <t>col_id</t>
  </si>
  <si>
    <t>col_length</t>
  </si>
  <si>
    <t>d_part</t>
  </si>
  <si>
    <t>Dax_col</t>
  </si>
  <si>
    <t>pore_diff_salt</t>
  </si>
  <si>
    <t>pore_diff_pH</t>
  </si>
  <si>
    <t>pore_diff_vHMW</t>
  </si>
  <si>
    <t>pore_diff_HMW</t>
  </si>
  <si>
    <t>pore_diff_Monomer</t>
  </si>
  <si>
    <t>pore_diff_LMW</t>
  </si>
  <si>
    <t>pore_diff_vLMW</t>
  </si>
  <si>
    <t>Ee</t>
  </si>
  <si>
    <t>Ep</t>
  </si>
  <si>
    <t>Et</t>
  </si>
  <si>
    <t>flow_rate</t>
  </si>
  <si>
    <t>int_vel</t>
  </si>
  <si>
    <t>keff_salt</t>
  </si>
  <si>
    <t>keff_pH</t>
  </si>
  <si>
    <t>keff_vHMW</t>
  </si>
  <si>
    <t>keff_HMW</t>
  </si>
  <si>
    <t>keff_Monomer</t>
  </si>
  <si>
    <t>keff_LMW</t>
  </si>
  <si>
    <t>keff_vLMW</t>
  </si>
  <si>
    <t>kfilm_salt</t>
  </si>
  <si>
    <t>kfilm_pH</t>
  </si>
  <si>
    <t>kfilm_vHMW</t>
  </si>
  <si>
    <t>kfilm_HMW</t>
  </si>
  <si>
    <t>kfilm_Monomer</t>
  </si>
  <si>
    <t>kfilm_LMW</t>
  </si>
  <si>
    <t>kfilm_vLMW</t>
  </si>
  <si>
    <t>lin_vel</t>
  </si>
  <si>
    <t>MW_salt</t>
  </si>
  <si>
    <t>MW_pH</t>
  </si>
  <si>
    <t>MW_vHMW</t>
  </si>
  <si>
    <t>MW_HMW</t>
  </si>
  <si>
    <t>MW_Monomer</t>
  </si>
  <si>
    <t>MW_LMW</t>
  </si>
  <si>
    <t>MW_vLMW</t>
  </si>
  <si>
    <t>col_vol</t>
  </si>
  <si>
    <t>Dax_tubing</t>
  </si>
  <si>
    <t>kf_salt</t>
  </si>
  <si>
    <t>kf_pH</t>
  </si>
  <si>
    <t>kf_vHMW</t>
  </si>
  <si>
    <t>kf_HMW</t>
  </si>
  <si>
    <t>kf_Monomer</t>
  </si>
  <si>
    <t>kf_LMW</t>
  </si>
  <si>
    <t>kf_vLMW</t>
  </si>
  <si>
    <t>kp_salt</t>
  </si>
  <si>
    <t>kp_pH</t>
  </si>
  <si>
    <t>kp_vHMW</t>
  </si>
  <si>
    <t>kp_HMW</t>
  </si>
  <si>
    <t>kp_Monomer</t>
  </si>
  <si>
    <t>kp_LMW</t>
  </si>
  <si>
    <t>kp_vLMW</t>
  </si>
  <si>
    <t>Solid ionic capacity (mol ions / L solid)</t>
  </si>
  <si>
    <r>
      <t>Total accessible surface area (m</t>
    </r>
    <r>
      <rPr>
        <vertAlign val="superscript"/>
        <sz val="11"/>
        <color theme="1"/>
        <rFont val="Calibri"/>
        <family val="2"/>
        <scheme val="minor"/>
      </rPr>
      <t>2</t>
    </r>
    <r>
      <rPr>
        <sz val="11"/>
        <color theme="1"/>
        <rFont val="Calibri"/>
        <family val="2"/>
        <scheme val="minor"/>
      </rPr>
      <t>/m</t>
    </r>
    <r>
      <rPr>
        <vertAlign val="superscript"/>
        <sz val="11"/>
        <color theme="1"/>
        <rFont val="Calibri"/>
        <family val="2"/>
        <scheme val="minor"/>
      </rPr>
      <t>3</t>
    </r>
    <r>
      <rPr>
        <sz val="11"/>
        <color theme="1"/>
        <rFont val="Calibri"/>
        <family val="2"/>
        <scheme val="minor"/>
      </rPr>
      <t>)</t>
    </r>
  </si>
  <si>
    <t>Porosities</t>
  </si>
  <si>
    <t>Ionic capacities</t>
  </si>
  <si>
    <t>Effective mass transfer coeff (mm/s) k_eff</t>
  </si>
  <si>
    <t>Film mass transfer rate (mm/s) k_film</t>
  </si>
  <si>
    <r>
      <t>Column axial dispersion (mm</t>
    </r>
    <r>
      <rPr>
        <vertAlign val="superscript"/>
        <sz val="11"/>
        <color theme="1"/>
        <rFont val="Calibri"/>
        <family val="2"/>
        <scheme val="minor"/>
      </rPr>
      <t>2</t>
    </r>
    <r>
      <rPr>
        <sz val="11"/>
        <color theme="1"/>
        <rFont val="Calibri"/>
        <family val="2"/>
        <scheme val="minor"/>
      </rPr>
      <t>/s)</t>
    </r>
  </si>
  <si>
    <r>
      <t>Surface ionic capacity (mol ions/m</t>
    </r>
    <r>
      <rPr>
        <vertAlign val="superscript"/>
        <sz val="11"/>
        <color theme="1"/>
        <rFont val="Calibri"/>
        <family val="2"/>
        <scheme val="minor"/>
      </rPr>
      <t>2</t>
    </r>
    <r>
      <rPr>
        <sz val="11"/>
        <color theme="1"/>
        <rFont val="Calibri"/>
        <family val="2"/>
        <scheme val="minor"/>
      </rPr>
      <t>)</t>
    </r>
  </si>
  <si>
    <r>
      <t>Density (kg/m</t>
    </r>
    <r>
      <rPr>
        <vertAlign val="superscript"/>
        <sz val="11"/>
        <color theme="1"/>
        <rFont val="Calibri"/>
        <family val="2"/>
        <scheme val="minor"/>
      </rPr>
      <t>3</t>
    </r>
    <r>
      <rPr>
        <sz val="11"/>
        <color theme="1"/>
        <rFont val="Calibri"/>
        <family val="2"/>
        <scheme val="minor"/>
      </rPr>
      <t>)</t>
    </r>
  </si>
  <si>
    <r>
      <t>Effective pore diffusivity for small molecules - Mackie-Meares for salt &amp; pH (mm</t>
    </r>
    <r>
      <rPr>
        <vertAlign val="superscript"/>
        <sz val="11"/>
        <color theme="1"/>
        <rFont val="Calibri"/>
        <family val="2"/>
        <scheme val="minor"/>
      </rPr>
      <t>2</t>
    </r>
    <r>
      <rPr>
        <sz val="11"/>
        <color theme="1"/>
        <rFont val="Calibri"/>
        <family val="2"/>
        <scheme val="minor"/>
      </rPr>
      <t>/s)</t>
    </r>
  </si>
  <si>
    <r>
      <t>Effective pore diffusivity (mm</t>
    </r>
    <r>
      <rPr>
        <vertAlign val="superscript"/>
        <sz val="11"/>
        <color theme="1"/>
        <rFont val="Calibri"/>
        <family val="2"/>
        <scheme val="minor"/>
      </rPr>
      <t>2</t>
    </r>
    <r>
      <rPr>
        <sz val="11"/>
        <color theme="1"/>
        <rFont val="Calibri"/>
        <family val="2"/>
        <scheme val="minor"/>
      </rPr>
      <t>/s)</t>
    </r>
  </si>
  <si>
    <r>
      <t>Dispersion for tubing (pre-column) - Taylor expression (1953) (mm</t>
    </r>
    <r>
      <rPr>
        <vertAlign val="superscript"/>
        <sz val="11"/>
        <color theme="1"/>
        <rFont val="Calibri"/>
        <family val="2"/>
        <scheme val="minor"/>
      </rPr>
      <t>2</t>
    </r>
    <r>
      <rPr>
        <sz val="11"/>
        <color theme="1"/>
        <rFont val="Calibri"/>
        <family val="2"/>
        <scheme val="minor"/>
      </rPr>
      <t>/s)</t>
    </r>
  </si>
  <si>
    <r>
      <t>Temperature (</t>
    </r>
    <r>
      <rPr>
        <sz val="11"/>
        <color theme="1"/>
        <rFont val="Aptos Narrow"/>
        <family val="2"/>
      </rPr>
      <t>°</t>
    </r>
    <r>
      <rPr>
        <sz val="11"/>
        <color theme="1"/>
        <rFont val="Calibri"/>
        <family val="2"/>
        <scheme val="minor"/>
      </rPr>
      <t>C)</t>
    </r>
  </si>
  <si>
    <t>L</t>
  </si>
  <si>
    <t>T</t>
  </si>
  <si>
    <t>D</t>
  </si>
  <si>
    <t>V</t>
  </si>
  <si>
    <t>D_part</t>
  </si>
  <si>
    <t>Ac</t>
  </si>
  <si>
    <t>F</t>
  </si>
  <si>
    <t>tubing_vol</t>
  </si>
  <si>
    <t>tubing_id</t>
  </si>
  <si>
    <t>u</t>
  </si>
  <si>
    <t>nu</t>
  </si>
  <si>
    <t>tau</t>
  </si>
  <si>
    <t>Rpore</t>
  </si>
  <si>
    <t>visc</t>
  </si>
  <si>
    <t>Rhyd_salt</t>
  </si>
  <si>
    <t>Rhyd_pH</t>
  </si>
  <si>
    <t>Rhyd_vHMW</t>
  </si>
  <si>
    <t>Rhyd_HMW</t>
  </si>
  <si>
    <t>Rhyd_Monomer</t>
  </si>
  <si>
    <t>Rhyd_LMW</t>
  </si>
  <si>
    <t>Rhyd_vLMW</t>
  </si>
  <si>
    <t>lambda_salt</t>
  </si>
  <si>
    <t>lambda_pH</t>
  </si>
  <si>
    <t>lambda_vHMW</t>
  </si>
  <si>
    <t>lambda_HMW</t>
  </si>
  <si>
    <t>lambda_Monomer</t>
  </si>
  <si>
    <t>lambda_LMW</t>
  </si>
  <si>
    <t>lambda_vLMW</t>
  </si>
  <si>
    <t>Kb</t>
  </si>
  <si>
    <t>Do_salt</t>
  </si>
  <si>
    <t>Do_pH</t>
  </si>
  <si>
    <t>Do_vHMW</t>
  </si>
  <si>
    <t>Do_HMW</t>
  </si>
  <si>
    <t>Do_Monomer</t>
  </si>
  <si>
    <t>Do_LMW</t>
  </si>
  <si>
    <t>Do_vLMW</t>
  </si>
  <si>
    <t>rho</t>
  </si>
  <si>
    <t>Dpart</t>
  </si>
  <si>
    <t>ionic_cap</t>
  </si>
  <si>
    <t>tubingid</t>
  </si>
  <si>
    <t>tubingvol</t>
  </si>
  <si>
    <t>residence_time</t>
  </si>
  <si>
    <t>if porosity is entered on the left, volumes above are ignored</t>
  </si>
  <si>
    <t>Or enter porosity directly:</t>
  </si>
  <si>
    <t>Acidic</t>
  </si>
  <si>
    <t>Basic</t>
  </si>
  <si>
    <t>Main</t>
  </si>
  <si>
    <t>Template by Meilisa Thomas and Scott H. Altern :)</t>
  </si>
  <si>
    <t>Ionic capacity (M packed column)</t>
  </si>
  <si>
    <t>Pore size (nm)</t>
  </si>
  <si>
    <r>
      <t>Total accessible surface area (m</t>
    </r>
    <r>
      <rPr>
        <vertAlign val="superscript"/>
        <sz val="11"/>
        <color theme="1"/>
        <rFont val="Calibri"/>
        <family val="2"/>
        <scheme val="minor"/>
      </rPr>
      <t>2</t>
    </r>
    <r>
      <rPr>
        <sz val="11"/>
        <color theme="1"/>
        <rFont val="Calibri"/>
        <family val="2"/>
        <scheme val="minor"/>
      </rPr>
      <t>/m</t>
    </r>
    <r>
      <rPr>
        <vertAlign val="superscript"/>
        <sz val="11"/>
        <color theme="1"/>
        <rFont val="Calibri"/>
        <family val="2"/>
        <scheme val="minor"/>
      </rPr>
      <t>3</t>
    </r>
    <r>
      <rPr>
        <sz val="11"/>
        <color theme="1"/>
        <rFont val="Calibri"/>
        <family val="2"/>
        <scheme val="minor"/>
      </rPr>
      <t>)</t>
    </r>
  </si>
  <si>
    <t>Column ionic capacity (M packed column)</t>
  </si>
  <si>
    <t>Ionic capacity (M solid volume)</t>
  </si>
  <si>
    <t>As</t>
  </si>
  <si>
    <t xml:space="preserve">lambda </t>
  </si>
  <si>
    <t>Diffusional hindrance factor psi</t>
  </si>
  <si>
    <t>Tortuosity (ranges between 2-6)</t>
  </si>
  <si>
    <t>Resin tortuosity, ranges between 2-6</t>
  </si>
  <si>
    <r>
      <t>Cross sectional area (cm</t>
    </r>
    <r>
      <rPr>
        <vertAlign val="superscript"/>
        <sz val="11"/>
        <color theme="1"/>
        <rFont val="Calibri"/>
        <family val="2"/>
        <scheme val="minor"/>
      </rPr>
      <t>2</t>
    </r>
    <r>
      <rPr>
        <sz val="11"/>
        <color theme="1"/>
        <rFont val="Calibri"/>
        <family val="2"/>
        <scheme val="minor"/>
      </rPr>
      <t>)</t>
    </r>
  </si>
  <si>
    <r>
      <t>Boltzmann constant (m</t>
    </r>
    <r>
      <rPr>
        <vertAlign val="superscript"/>
        <sz val="11"/>
        <color theme="1"/>
        <rFont val="Calibri"/>
        <family val="2"/>
        <scheme val="minor"/>
      </rPr>
      <t>2</t>
    </r>
    <r>
      <rPr>
        <sz val="11"/>
        <color theme="1"/>
        <rFont val="Calibri"/>
        <family val="2"/>
        <scheme val="minor"/>
      </rPr>
      <t>*kg/(s</t>
    </r>
    <r>
      <rPr>
        <vertAlign val="superscript"/>
        <sz val="11"/>
        <color theme="1"/>
        <rFont val="Calibri"/>
        <family val="2"/>
        <scheme val="minor"/>
      </rPr>
      <t>2</t>
    </r>
    <r>
      <rPr>
        <sz val="11"/>
        <color theme="1"/>
        <rFont val="Calibri"/>
        <family val="2"/>
        <scheme val="minor"/>
      </rPr>
      <t>*K))</t>
    </r>
  </si>
  <si>
    <r>
      <t>Ionic capacity (mol/m</t>
    </r>
    <r>
      <rPr>
        <vertAlign val="superscript"/>
        <sz val="11"/>
        <color theme="1"/>
        <rFont val="Calibri"/>
        <family val="2"/>
        <scheme val="minor"/>
      </rPr>
      <t>3</t>
    </r>
    <r>
      <rPr>
        <sz val="11"/>
        <color theme="1"/>
        <rFont val="Calibri"/>
        <family val="2"/>
        <scheme val="minor"/>
      </rPr>
      <t>)</t>
    </r>
  </si>
  <si>
    <r>
      <t>Tubing volume (m</t>
    </r>
    <r>
      <rPr>
        <vertAlign val="superscript"/>
        <sz val="11"/>
        <color theme="1"/>
        <rFont val="Calibri"/>
        <family val="2"/>
        <scheme val="minor"/>
      </rPr>
      <t>3</t>
    </r>
    <r>
      <rPr>
        <sz val="11"/>
        <color theme="1"/>
        <rFont val="Calibri"/>
        <family val="2"/>
        <scheme val="minor"/>
      </rPr>
      <t>)</t>
    </r>
  </si>
  <si>
    <r>
      <t>Flow rate (m</t>
    </r>
    <r>
      <rPr>
        <vertAlign val="superscript"/>
        <sz val="11"/>
        <color theme="1"/>
        <rFont val="Calibri"/>
        <family val="2"/>
        <scheme val="minor"/>
      </rPr>
      <t>3</t>
    </r>
    <r>
      <rPr>
        <sz val="11"/>
        <color theme="1"/>
        <rFont val="Calibri"/>
        <family val="2"/>
        <scheme val="minor"/>
      </rPr>
      <t>/s)</t>
    </r>
  </si>
  <si>
    <r>
      <t>Column volume (m</t>
    </r>
    <r>
      <rPr>
        <vertAlign val="superscript"/>
        <sz val="11"/>
        <color theme="1"/>
        <rFont val="Calibri"/>
        <family val="2"/>
        <scheme val="minor"/>
      </rPr>
      <t>3</t>
    </r>
    <r>
      <rPr>
        <sz val="11"/>
        <color theme="1"/>
        <rFont val="Calibri"/>
        <family val="2"/>
        <scheme val="minor"/>
      </rPr>
      <t>)</t>
    </r>
  </si>
  <si>
    <r>
      <t>Column axial dispersion (m</t>
    </r>
    <r>
      <rPr>
        <vertAlign val="superscript"/>
        <sz val="11"/>
        <color theme="1"/>
        <rFont val="Calibri"/>
        <family val="2"/>
        <scheme val="minor"/>
      </rPr>
      <t>2</t>
    </r>
    <r>
      <rPr>
        <sz val="11"/>
        <color theme="1"/>
        <rFont val="Calibri"/>
        <family val="2"/>
        <scheme val="minor"/>
      </rPr>
      <t>/s)</t>
    </r>
  </si>
  <si>
    <t>INPUTS</t>
  </si>
  <si>
    <t>OUTPUTS</t>
  </si>
  <si>
    <t>qR_column (qR)</t>
  </si>
  <si>
    <t>qR_solid (qRs)</t>
  </si>
  <si>
    <t>None, enter 0 as MW</t>
  </si>
  <si>
    <t>&lt;- For buffer components</t>
  </si>
  <si>
    <t>Grey cells should not be edited</t>
  </si>
  <si>
    <r>
      <rPr>
        <b/>
        <sz val="13"/>
        <color theme="1"/>
        <rFont val="Calibri"/>
        <family val="2"/>
        <scheme val="minor"/>
      </rPr>
      <t>Instructions:</t>
    </r>
    <r>
      <rPr>
        <sz val="13"/>
        <color theme="1"/>
        <rFont val="Calibri"/>
        <family val="2"/>
        <scheme val="minor"/>
      </rPr>
      <t xml:space="preserve">
Enter input values specified on left hand side of sheet (INPUTS), inputs are all non-grey cells
Transport parameters are calculated in "Transport Parameter Calculation" and reported in OUTPUTS.
</t>
    </r>
    <r>
      <rPr>
        <b/>
        <sz val="13"/>
        <color theme="1"/>
        <rFont val="Calibri"/>
        <family val="2"/>
        <scheme val="minor"/>
      </rPr>
      <t>List of correlations used for calculations:</t>
    </r>
    <r>
      <rPr>
        <sz val="13"/>
        <color theme="1"/>
        <rFont val="Calibri"/>
        <family val="2"/>
        <scheme val="minor"/>
      </rPr>
      <t xml:space="preserve">
Wilson-Geankopolis (1966) correlation for Sherwood number in film mass transfer coefficient
Dechadilok and Deen (2006) correlation for diffusional hindrance
Mackie-Meares (1955) correlation for small molecule pore diffusivity 
Protein effective pore diffusivity equation from Carta and Jungbauer textbook
Effective mass transfer coefficient using coupled resistances for internal and external mass transfer
Rastegar and Gu (2017) for Peclet number in axial dispersion
Taylor expression (1953) for tubing axial dispersion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</si>
</sst>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E+00"/>
  </numFmts>
  <fonts count="10"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vertAlign val="superscript"/>
      <sz val="11"/>
      <color theme="1"/>
      <name val="Calibri"/>
      <family val="2"/>
      <scheme val="minor"/>
    </font>
    <font>
      <sz val="11"/>
      <color theme="1"/>
      <name val="Aptos Narrow"/>
      <family val="2"/>
    </font>
    <font>
      <sz val="9"/>
      <color theme="1"/>
      <name val="Calibri"/>
      <family val="2"/>
      <scheme val="minor"/>
    </font>
    <font>
      <b/>
      <sz val="14"/>
      <color theme="1"/>
      <name val="Calibri"/>
      <family val="2"/>
      <scheme val="minor"/>
    </font>
    <font>
      <sz val="13"/>
      <color theme="1"/>
      <name val="Calibri"/>
      <family val="2"/>
      <scheme val="minor"/>
    </font>
    <font>
      <b/>
      <sz val="13"/>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s>
  <cellStyleXfs count="1">
    <xf numFmtId="0" fontId="0" fillId="0" borderId="0"/>
  </cellStyleXfs>
  <cellXfs count="73">
    <xf numFmtId="0" fontId="0" fillId="0" borderId="0" xfId="0"/>
    <xf numFmtId="0" fontId="1" fillId="0" borderId="0" xfId="0" applyFont="1"/>
    <xf numFmtId="11" fontId="0" fillId="0" borderId="0" xfId="0" applyNumberFormat="1"/>
    <xf numFmtId="0" fontId="0" fillId="0" borderId="0" xfId="0" applyAlignment="1">
      <alignment horizontal="left" indent="4"/>
    </xf>
    <xf numFmtId="0" fontId="0" fillId="0" borderId="3" xfId="0" applyBorder="1"/>
    <xf numFmtId="0" fontId="0" fillId="0" borderId="4" xfId="0" applyBorder="1"/>
    <xf numFmtId="0" fontId="0" fillId="0" borderId="1" xfId="0" applyBorder="1"/>
    <xf numFmtId="0" fontId="0" fillId="0" borderId="5" xfId="0" applyBorder="1"/>
    <xf numFmtId="0" fontId="0" fillId="0" borderId="3" xfId="0" applyBorder="1" applyAlignment="1">
      <alignment horizontal="left" indent="2"/>
    </xf>
    <xf numFmtId="0" fontId="1" fillId="0" borderId="3" xfId="0" applyFont="1" applyBorder="1"/>
    <xf numFmtId="0" fontId="0" fillId="0" borderId="7" xfId="0" applyBorder="1"/>
    <xf numFmtId="0" fontId="0" fillId="0" borderId="8" xfId="0" applyBorder="1"/>
    <xf numFmtId="0" fontId="0" fillId="0" borderId="4" xfId="0" applyBorder="1" applyAlignment="1">
      <alignment horizontal="left" indent="2"/>
    </xf>
    <xf numFmtId="0" fontId="0" fillId="0" borderId="9" xfId="0" applyBorder="1"/>
    <xf numFmtId="11" fontId="0" fillId="0" borderId="1" xfId="0" applyNumberFormat="1" applyBorder="1"/>
    <xf numFmtId="0" fontId="0" fillId="0" borderId="2" xfId="0" applyBorder="1"/>
    <xf numFmtId="0" fontId="0" fillId="0" borderId="1" xfId="0" applyBorder="1" applyAlignment="1">
      <alignment horizontal="left"/>
    </xf>
    <xf numFmtId="0" fontId="0" fillId="0" borderId="9" xfId="0" applyBorder="1" applyAlignment="1">
      <alignment horizontal="left"/>
    </xf>
    <xf numFmtId="164" fontId="0" fillId="0" borderId="8" xfId="0" applyNumberFormat="1" applyBorder="1"/>
    <xf numFmtId="164" fontId="0" fillId="0" borderId="7" xfId="0" applyNumberFormat="1" applyBorder="1"/>
    <xf numFmtId="0" fontId="0" fillId="0" borderId="8" xfId="0" applyBorder="1" applyProtection="1">
      <protection locked="0"/>
    </xf>
    <xf numFmtId="0" fontId="0" fillId="0" borderId="7" xfId="0" applyBorder="1" applyProtection="1">
      <protection locked="0"/>
    </xf>
    <xf numFmtId="0" fontId="0" fillId="0" borderId="5" xfId="0" applyBorder="1" applyProtection="1">
      <protection locked="0"/>
    </xf>
    <xf numFmtId="0" fontId="0" fillId="0" borderId="1" xfId="0" applyBorder="1" applyProtection="1">
      <protection locked="0"/>
    </xf>
    <xf numFmtId="0" fontId="0" fillId="0" borderId="0" xfId="0" applyAlignment="1">
      <alignment horizontal="left" indent="2"/>
    </xf>
    <xf numFmtId="0" fontId="0" fillId="0" borderId="8" xfId="0" applyBorder="1" applyAlignment="1">
      <alignment horizontal="left" indent="2"/>
    </xf>
    <xf numFmtId="0" fontId="0" fillId="0" borderId="5" xfId="0" applyBorder="1" applyAlignment="1">
      <alignment horizontal="left" indent="2"/>
    </xf>
    <xf numFmtId="11" fontId="0" fillId="0" borderId="1" xfId="0" applyNumberFormat="1" applyBorder="1" applyProtection="1">
      <protection locked="0"/>
    </xf>
    <xf numFmtId="0" fontId="0" fillId="0" borderId="0" xfId="0" applyAlignment="1">
      <alignment horizontal="right"/>
    </xf>
    <xf numFmtId="0" fontId="0" fillId="0" borderId="3" xfId="0" applyBorder="1" applyAlignment="1" applyProtection="1">
      <alignment horizontal="left" indent="2"/>
      <protection locked="0"/>
    </xf>
    <xf numFmtId="0" fontId="0" fillId="0" borderId="4" xfId="0" applyBorder="1" applyAlignment="1" applyProtection="1">
      <alignment horizontal="left" indent="2"/>
      <protection locked="0"/>
    </xf>
    <xf numFmtId="11" fontId="0" fillId="2" borderId="7" xfId="0" applyNumberFormat="1" applyFill="1" applyBorder="1"/>
    <xf numFmtId="0" fontId="0" fillId="2" borderId="7" xfId="0" applyFill="1" applyBorder="1"/>
    <xf numFmtId="0" fontId="0" fillId="0" borderId="16" xfId="0" applyBorder="1" applyAlignment="1">
      <alignment horizontal="left" indent="2"/>
    </xf>
    <xf numFmtId="0" fontId="0" fillId="0" borderId="16" xfId="0" applyBorder="1"/>
    <xf numFmtId="0" fontId="0" fillId="2" borderId="3" xfId="0" applyFill="1" applyBorder="1" applyAlignment="1">
      <alignment horizontal="left" indent="2"/>
    </xf>
    <xf numFmtId="0" fontId="0" fillId="2" borderId="0" xfId="0" applyFill="1"/>
    <xf numFmtId="0" fontId="1" fillId="2" borderId="6" xfId="0" applyFont="1" applyFill="1" applyBorder="1" applyAlignment="1">
      <alignment horizontal="center"/>
    </xf>
    <xf numFmtId="0" fontId="1" fillId="2" borderId="14" xfId="0" applyFont="1" applyFill="1" applyBorder="1" applyAlignment="1">
      <alignment horizontal="center"/>
    </xf>
    <xf numFmtId="0" fontId="0" fillId="2" borderId="9" xfId="0" applyFill="1" applyBorder="1"/>
    <xf numFmtId="0" fontId="0" fillId="2" borderId="1" xfId="0" applyFill="1" applyBorder="1"/>
    <xf numFmtId="0" fontId="0" fillId="2" borderId="5" xfId="0" applyFill="1" applyBorder="1"/>
    <xf numFmtId="0" fontId="0" fillId="2" borderId="4" xfId="0" applyFill="1" applyBorder="1" applyAlignment="1">
      <alignment horizontal="left" indent="2"/>
    </xf>
    <xf numFmtId="0" fontId="0" fillId="2" borderId="9" xfId="0" applyFill="1" applyBorder="1" applyAlignment="1">
      <alignment horizontal="left"/>
    </xf>
    <xf numFmtId="0" fontId="0" fillId="2" borderId="4" xfId="0" applyFill="1" applyBorder="1"/>
    <xf numFmtId="0" fontId="0" fillId="2" borderId="1" xfId="0" applyFill="1" applyBorder="1" applyAlignment="1">
      <alignment horizontal="left"/>
    </xf>
    <xf numFmtId="0" fontId="1" fillId="2" borderId="15" xfId="0" applyFont="1" applyFill="1" applyBorder="1" applyAlignment="1">
      <alignment horizontal="center"/>
    </xf>
    <xf numFmtId="0" fontId="0" fillId="2" borderId="12" xfId="0" applyFill="1" applyBorder="1"/>
    <xf numFmtId="0" fontId="0" fillId="2" borderId="8" xfId="0" applyFill="1" applyBorder="1"/>
    <xf numFmtId="0" fontId="0" fillId="2" borderId="8" xfId="0" applyFill="1" applyBorder="1" applyAlignment="1">
      <alignment horizontal="left" indent="2"/>
    </xf>
    <xf numFmtId="0" fontId="0" fillId="2" borderId="5" xfId="0" applyFill="1" applyBorder="1" applyAlignment="1">
      <alignment horizontal="left" indent="2"/>
    </xf>
    <xf numFmtId="11" fontId="0" fillId="2" borderId="5" xfId="0" applyNumberFormat="1" applyFill="1" applyBorder="1"/>
    <xf numFmtId="0" fontId="0" fillId="2" borderId="1" xfId="0" applyFill="1" applyBorder="1" applyAlignment="1">
      <alignment horizontal="left" indent="2"/>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 fillId="2" borderId="9" xfId="0" applyFont="1" applyFill="1" applyBorder="1" applyAlignment="1">
      <alignment horizontal="center"/>
    </xf>
    <xf numFmtId="0" fontId="1" fillId="2" borderId="13" xfId="0" applyFont="1" applyFill="1" applyBorder="1" applyAlignment="1">
      <alignment horizontal="center"/>
    </xf>
    <xf numFmtId="0" fontId="7" fillId="0" borderId="0" xfId="0" applyFont="1" applyAlignment="1">
      <alignment horizontal="center"/>
    </xf>
    <xf numFmtId="0" fontId="8" fillId="0" borderId="1" xfId="0" applyFont="1" applyBorder="1" applyAlignment="1">
      <alignment horizontal="left" vertical="top" wrapText="1"/>
    </xf>
    <xf numFmtId="0" fontId="0" fillId="0" borderId="3" xfId="0" applyBorder="1" applyAlignment="1">
      <alignment horizontal="center" vertical="center" wrapText="1"/>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1" fillId="2" borderId="6" xfId="0" applyFont="1" applyFill="1" applyBorder="1" applyAlignment="1">
      <alignment horizontal="center"/>
    </xf>
    <xf numFmtId="0" fontId="1" fillId="2" borderId="14" xfId="0" applyFont="1" applyFill="1" applyBorder="1" applyAlignment="1">
      <alignment horizontal="center"/>
    </xf>
    <xf numFmtId="0" fontId="0" fillId="0" borderId="3" xfId="0" applyBorder="1" applyAlignment="1" applyProtection="1">
      <alignment horizontal="left" vertical="center"/>
      <protection locked="0"/>
    </xf>
    <xf numFmtId="0" fontId="0" fillId="2" borderId="11" xfId="0" applyFill="1" applyBorder="1" applyAlignment="1">
      <alignment horizontal="center" vertical="center"/>
    </xf>
    <xf numFmtId="0" fontId="1" fillId="0" borderId="6" xfId="0" applyFont="1" applyBorder="1" applyAlignment="1">
      <alignment horizontal="center"/>
    </xf>
    <xf numFmtId="0" fontId="1" fillId="0" borderId="14" xfId="0" applyFont="1" applyBorder="1" applyAlignment="1">
      <alignment horizontal="center"/>
    </xf>
    <xf numFmtId="0" fontId="1" fillId="0" borderId="9" xfId="0" applyFont="1" applyBorder="1" applyAlignment="1">
      <alignment horizontal="center"/>
    </xf>
    <xf numFmtId="0" fontId="1" fillId="0" borderId="1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microsoft.com/office/2023/09/relationships/Python" Target="pytho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41"/>
  <sheetViews>
    <sheetView tabSelected="1" topLeftCell="A4" zoomScale="85" zoomScaleNormal="85" workbookViewId="0">
      <selection activeCell="E10" sqref="E10"/>
    </sheetView>
  </sheetViews>
  <sheetFormatPr defaultRowHeight="14.5" x14ac:dyDescent="0.35"/>
  <cols>
    <col min="2" max="2" width="38.7265625" bestFit="1" customWidth="1"/>
    <col min="3" max="3" width="19.81640625" bestFit="1" customWidth="1"/>
    <col min="4" max="4" width="16.453125" bestFit="1" customWidth="1"/>
    <col min="6" max="6" width="2.453125" style="36" customWidth="1"/>
    <col min="8" max="8" width="77" bestFit="1" customWidth="1"/>
    <col min="9" max="9" width="8.7265625" bestFit="1" customWidth="1"/>
  </cols>
  <sheetData>
    <row r="2" spans="2:17" ht="18.5" x14ac:dyDescent="0.45">
      <c r="B2" s="58" t="s">
        <v>202</v>
      </c>
      <c r="C2" s="58"/>
      <c r="D2" s="58"/>
      <c r="H2" s="58" t="s">
        <v>203</v>
      </c>
      <c r="I2" s="58"/>
    </row>
    <row r="3" spans="2:17" x14ac:dyDescent="0.35">
      <c r="B3" t="s">
        <v>208</v>
      </c>
    </row>
    <row r="4" spans="2:17" ht="16.5" customHeight="1" thickBot="1" x14ac:dyDescent="0.4">
      <c r="B4" s="65" t="s">
        <v>0</v>
      </c>
      <c r="C4" s="66"/>
      <c r="H4" s="39" t="s">
        <v>133</v>
      </c>
      <c r="I4" s="40"/>
      <c r="L4" s="59" t="s">
        <v>209</v>
      </c>
      <c r="M4" s="59"/>
      <c r="N4" s="59"/>
      <c r="O4" s="59"/>
      <c r="P4" s="59"/>
      <c r="Q4" s="59"/>
    </row>
    <row r="5" spans="2:17" ht="15.75" customHeight="1" x14ac:dyDescent="0.35">
      <c r="B5" s="41" t="s">
        <v>1</v>
      </c>
      <c r="C5" s="22">
        <v>20</v>
      </c>
      <c r="H5" s="35" t="s">
        <v>42</v>
      </c>
      <c r="I5" s="31">
        <f>'Transport Parameter Calculation'!O7</f>
        <v>1.4854596019976511E-4</v>
      </c>
      <c r="L5" s="59"/>
      <c r="M5" s="59"/>
      <c r="N5" s="59"/>
      <c r="O5" s="59"/>
      <c r="P5" s="59"/>
      <c r="Q5" s="59"/>
    </row>
    <row r="6" spans="2:17" ht="15.75" customHeight="1" x14ac:dyDescent="0.35">
      <c r="B6" s="40" t="s">
        <v>2</v>
      </c>
      <c r="C6" s="23">
        <v>1</v>
      </c>
      <c r="H6" s="42" t="s">
        <v>49</v>
      </c>
      <c r="I6" s="31">
        <f>'Transport Parameter Calculation'!O8</f>
        <v>1.4854596019976511E-4</v>
      </c>
      <c r="L6" s="59"/>
      <c r="M6" s="59"/>
      <c r="N6" s="59"/>
      <c r="O6" s="59"/>
      <c r="P6" s="59"/>
      <c r="Q6" s="59"/>
    </row>
    <row r="7" spans="2:17" ht="16.5" x14ac:dyDescent="0.35">
      <c r="B7" s="40" t="s">
        <v>10</v>
      </c>
      <c r="C7" s="23">
        <v>50</v>
      </c>
      <c r="G7" s="1"/>
      <c r="H7" s="39" t="s">
        <v>134</v>
      </c>
      <c r="I7" s="40"/>
      <c r="L7" s="59"/>
      <c r="M7" s="59"/>
      <c r="N7" s="59"/>
      <c r="O7" s="59"/>
      <c r="P7" s="59"/>
      <c r="Q7" s="59"/>
    </row>
    <row r="8" spans="2:17" ht="15.75" customHeight="1" x14ac:dyDescent="0.35">
      <c r="B8" s="40" t="s">
        <v>58</v>
      </c>
      <c r="C8" s="23">
        <v>25</v>
      </c>
      <c r="G8" s="1"/>
      <c r="H8" s="35" t="str">
        <f>B18</f>
        <v>vHMW</v>
      </c>
      <c r="I8" s="32">
        <f>IF(C18&gt;0,'Transport Parameter Calculation'!O9,"None")</f>
        <v>9.0435600948727726E-7</v>
      </c>
      <c r="L8" s="59"/>
      <c r="M8" s="59"/>
      <c r="N8" s="59"/>
      <c r="O8" s="59"/>
      <c r="P8" s="59"/>
      <c r="Q8" s="59"/>
    </row>
    <row r="9" spans="2:17" ht="15.75" customHeight="1" x14ac:dyDescent="0.35">
      <c r="B9" s="40" t="s">
        <v>194</v>
      </c>
      <c r="C9" s="23">
        <v>4</v>
      </c>
      <c r="H9" s="35" t="str">
        <f>B19</f>
        <v>HMW</v>
      </c>
      <c r="I9" s="32">
        <f>IF(C19&gt;0,'Transport Parameter Calculation'!O10,"None")</f>
        <v>1.1921407805858301E-6</v>
      </c>
      <c r="L9" s="59"/>
      <c r="M9" s="59"/>
      <c r="N9" s="59"/>
      <c r="O9" s="59"/>
      <c r="P9" s="59"/>
      <c r="Q9" s="59"/>
    </row>
    <row r="10" spans="2:17" ht="15.75" customHeight="1" x14ac:dyDescent="0.35">
      <c r="B10" s="40" t="s">
        <v>188</v>
      </c>
      <c r="C10" s="23">
        <v>0.108</v>
      </c>
      <c r="H10" s="35" t="str">
        <f t="shared" ref="H10:H12" si="0">B20</f>
        <v>Main</v>
      </c>
      <c r="I10" s="32">
        <f>IF(C20&gt;0,'Transport Parameter Calculation'!O11,"None")</f>
        <v>2.8524224765815146E-6</v>
      </c>
      <c r="L10" s="59"/>
      <c r="M10" s="59"/>
      <c r="N10" s="59"/>
      <c r="O10" s="59"/>
      <c r="P10" s="59"/>
      <c r="Q10" s="59"/>
    </row>
    <row r="11" spans="2:17" ht="16.5" x14ac:dyDescent="0.35">
      <c r="B11" s="40" t="s">
        <v>187</v>
      </c>
      <c r="C11" s="27">
        <v>460000000</v>
      </c>
      <c r="H11" s="35" t="str">
        <f t="shared" si="0"/>
        <v>LMW</v>
      </c>
      <c r="I11" s="32">
        <f>IF(C21&gt;0,'Transport Parameter Calculation'!O12,"None")</f>
        <v>3.7394158952856194E-6</v>
      </c>
      <c r="L11" s="59"/>
      <c r="M11" s="59"/>
      <c r="N11" s="59"/>
      <c r="O11" s="59"/>
      <c r="P11" s="59"/>
      <c r="Q11" s="59"/>
    </row>
    <row r="12" spans="2:17" ht="15.75" customHeight="1" x14ac:dyDescent="0.35">
      <c r="B12" s="40" t="s">
        <v>18</v>
      </c>
      <c r="C12" s="23">
        <v>1</v>
      </c>
      <c r="H12" s="35" t="str">
        <f t="shared" si="0"/>
        <v>None, enter 0 as MW</v>
      </c>
      <c r="I12" s="32" t="str">
        <f>IF(C22&gt;0,'Transport Parameter Calculation'!O13,"None")</f>
        <v>None</v>
      </c>
      <c r="L12" s="59"/>
      <c r="M12" s="59"/>
      <c r="N12" s="59"/>
      <c r="O12" s="59"/>
      <c r="P12" s="59"/>
      <c r="Q12" s="59"/>
    </row>
    <row r="13" spans="2:17" ht="16.5" customHeight="1" x14ac:dyDescent="0.35">
      <c r="H13" s="43" t="s">
        <v>128</v>
      </c>
      <c r="I13" s="40"/>
      <c r="L13" s="59"/>
      <c r="M13" s="59"/>
      <c r="N13" s="59"/>
      <c r="O13" s="59"/>
      <c r="P13" s="59"/>
      <c r="Q13" s="59"/>
    </row>
    <row r="14" spans="2:17" ht="15.75" customHeight="1" thickBot="1" x14ac:dyDescent="0.4">
      <c r="B14" s="65" t="s">
        <v>3</v>
      </c>
      <c r="C14" s="66"/>
      <c r="H14" s="35" t="s">
        <v>42</v>
      </c>
      <c r="I14" s="32">
        <f>IF(C16&gt;0,'Transport Parameter Calculation'!O19,"None")</f>
        <v>1.6202808090648731E-2</v>
      </c>
      <c r="L14" s="59"/>
      <c r="M14" s="59"/>
      <c r="N14" s="59"/>
      <c r="O14" s="59"/>
      <c r="P14" s="59"/>
      <c r="Q14" s="59"/>
    </row>
    <row r="15" spans="2:17" ht="15.75" customHeight="1" x14ac:dyDescent="0.35">
      <c r="B15" s="44" t="s">
        <v>60</v>
      </c>
      <c r="C15" s="41"/>
      <c r="D15" s="60" t="s">
        <v>207</v>
      </c>
      <c r="H15" s="35" t="s">
        <v>49</v>
      </c>
      <c r="I15" s="32">
        <f>IF(C17&gt;0,'Transport Parameter Calculation'!O20,"None")</f>
        <v>1.6202808090648731E-2</v>
      </c>
      <c r="L15" s="59"/>
      <c r="M15" s="59"/>
      <c r="N15" s="59"/>
      <c r="O15" s="59"/>
      <c r="P15" s="59"/>
      <c r="Q15" s="59"/>
    </row>
    <row r="16" spans="2:17" ht="15.75" customHeight="1" x14ac:dyDescent="0.35">
      <c r="B16" s="35" t="s">
        <v>42</v>
      </c>
      <c r="C16" s="21">
        <v>5.8400000000000001E-2</v>
      </c>
      <c r="D16" s="60"/>
      <c r="H16" s="35" t="str">
        <f>B18</f>
        <v>vHMW</v>
      </c>
      <c r="I16" s="32">
        <f>IF(C18&gt;0,'Transport Parameter Calculation'!O21,"None")</f>
        <v>1.0791239455503478E-4</v>
      </c>
      <c r="L16" s="59"/>
      <c r="M16" s="59"/>
      <c r="N16" s="59"/>
      <c r="O16" s="59"/>
      <c r="P16" s="59"/>
      <c r="Q16" s="59"/>
    </row>
    <row r="17" spans="2:17" ht="15.75" customHeight="1" x14ac:dyDescent="0.35">
      <c r="B17" s="35" t="s">
        <v>49</v>
      </c>
      <c r="C17" s="21">
        <v>5.8400000000000001E-2</v>
      </c>
      <c r="H17" s="35" t="str">
        <f t="shared" ref="H17:H20" si="1">B19</f>
        <v>HMW</v>
      </c>
      <c r="I17" s="32">
        <f>IF(C19&gt;0,'Transport Parameter Calculation'!O22,"None")</f>
        <v>1.4206868065922042E-4</v>
      </c>
      <c r="L17" s="59"/>
      <c r="M17" s="59"/>
      <c r="N17" s="59"/>
      <c r="O17" s="59"/>
      <c r="P17" s="59"/>
      <c r="Q17" s="59"/>
    </row>
    <row r="18" spans="2:17" ht="15.75" customHeight="1" x14ac:dyDescent="0.35">
      <c r="B18" s="29" t="s">
        <v>43</v>
      </c>
      <c r="C18" s="21">
        <v>600</v>
      </c>
      <c r="H18" s="35" t="str">
        <f t="shared" si="1"/>
        <v>Main</v>
      </c>
      <c r="I18" s="32">
        <f>IF(C20&gt;0,'Transport Parameter Calculation'!O23,"None")</f>
        <v>3.3797477963677598E-4</v>
      </c>
      <c r="L18" s="59"/>
      <c r="M18" s="59"/>
      <c r="N18" s="59"/>
      <c r="O18" s="59"/>
      <c r="P18" s="59"/>
      <c r="Q18" s="59"/>
    </row>
    <row r="19" spans="2:17" ht="15.75" customHeight="1" x14ac:dyDescent="0.35">
      <c r="B19" s="29" t="s">
        <v>44</v>
      </c>
      <c r="C19" s="21">
        <v>450</v>
      </c>
      <c r="H19" s="35" t="str">
        <f t="shared" si="1"/>
        <v>LMW</v>
      </c>
      <c r="I19" s="32">
        <f>IF(C21&gt;0,'Transport Parameter Calculation'!O24,"None")</f>
        <v>4.4201934944733629E-4</v>
      </c>
      <c r="L19" s="59"/>
      <c r="M19" s="59"/>
      <c r="N19" s="59"/>
      <c r="O19" s="59"/>
      <c r="P19" s="59"/>
      <c r="Q19" s="59"/>
    </row>
    <row r="20" spans="2:17" ht="15.75" customHeight="1" x14ac:dyDescent="0.35">
      <c r="B20" s="29" t="s">
        <v>183</v>
      </c>
      <c r="C20" s="21">
        <v>150</v>
      </c>
      <c r="H20" s="35" t="str">
        <f t="shared" si="1"/>
        <v>None, enter 0 as MW</v>
      </c>
      <c r="I20" s="32" t="str">
        <f>IF(C22&gt;0,'Transport Parameter Calculation'!O25,"None")</f>
        <v>None</v>
      </c>
      <c r="L20" s="59"/>
      <c r="M20" s="59"/>
      <c r="N20" s="59"/>
      <c r="O20" s="59"/>
      <c r="P20" s="59"/>
      <c r="Q20" s="59"/>
    </row>
    <row r="21" spans="2:17" ht="15.75" customHeight="1" x14ac:dyDescent="0.35">
      <c r="B21" s="29" t="s">
        <v>46</v>
      </c>
      <c r="C21" s="21">
        <v>100</v>
      </c>
      <c r="H21" s="43" t="s">
        <v>129</v>
      </c>
      <c r="I21" s="40"/>
      <c r="L21" s="59"/>
      <c r="M21" s="59"/>
      <c r="N21" s="59"/>
      <c r="O21" s="59"/>
      <c r="P21" s="59"/>
      <c r="Q21" s="59"/>
    </row>
    <row r="22" spans="2:17" x14ac:dyDescent="0.35">
      <c r="B22" s="30" t="s">
        <v>206</v>
      </c>
      <c r="C22" s="22">
        <v>0</v>
      </c>
      <c r="H22" s="35" t="s">
        <v>42</v>
      </c>
      <c r="I22" s="32">
        <f>IF(C16&gt;0,'Transport Parameter Calculation'!O26,"None")</f>
        <v>0.17798861936317584</v>
      </c>
      <c r="L22" s="59"/>
      <c r="M22" s="59"/>
      <c r="N22" s="59"/>
      <c r="O22" s="59"/>
      <c r="P22" s="59"/>
      <c r="Q22" s="59"/>
    </row>
    <row r="23" spans="2:17" ht="15.75" customHeight="1" x14ac:dyDescent="0.35">
      <c r="B23" s="41" t="s">
        <v>132</v>
      </c>
      <c r="C23" s="22">
        <v>1000</v>
      </c>
      <c r="H23" s="35" t="s">
        <v>49</v>
      </c>
      <c r="I23" s="32">
        <f>IF(C17&gt;0,'Transport Parameter Calculation'!O27,"None")</f>
        <v>0.17798861936317584</v>
      </c>
      <c r="L23" s="59"/>
      <c r="M23" s="59"/>
      <c r="N23" s="59"/>
      <c r="O23" s="59"/>
      <c r="P23" s="59"/>
      <c r="Q23" s="59"/>
    </row>
    <row r="24" spans="2:17" x14ac:dyDescent="0.35">
      <c r="B24" s="40" t="s">
        <v>136</v>
      </c>
      <c r="C24" s="23">
        <v>22</v>
      </c>
      <c r="H24" s="35" t="str">
        <f>B18</f>
        <v>vHMW</v>
      </c>
      <c r="I24" s="32">
        <f>IF(C18&gt;0,'Transport Parameter Calculation'!O28,"None")</f>
        <v>1.9188000358272232E-2</v>
      </c>
      <c r="L24" s="59"/>
      <c r="M24" s="59"/>
      <c r="N24" s="59"/>
      <c r="O24" s="59"/>
      <c r="P24" s="59"/>
      <c r="Q24" s="59"/>
    </row>
    <row r="25" spans="2:17" x14ac:dyDescent="0.35">
      <c r="B25" s="45" t="s">
        <v>4</v>
      </c>
      <c r="C25" s="23">
        <v>1E-3</v>
      </c>
      <c r="H25" s="35" t="str">
        <f t="shared" ref="H25:H28" si="2">B19</f>
        <v>HMW</v>
      </c>
      <c r="I25" s="32">
        <f>IF(C19&gt;0,'Transport Parameter Calculation'!O29,"None")</f>
        <v>2.0566319118537586E-2</v>
      </c>
      <c r="L25" s="59"/>
      <c r="M25" s="59"/>
      <c r="N25" s="59"/>
      <c r="O25" s="59"/>
      <c r="P25" s="59"/>
      <c r="Q25" s="59"/>
    </row>
    <row r="26" spans="2:17" x14ac:dyDescent="0.35">
      <c r="H26" s="35" t="str">
        <f t="shared" si="2"/>
        <v>Main</v>
      </c>
      <c r="I26" s="32">
        <f>IF(C20&gt;0,'Transport Parameter Calculation'!O30,"None")</f>
        <v>2.6804409846492201E-2</v>
      </c>
      <c r="L26" s="59"/>
      <c r="M26" s="59"/>
      <c r="N26" s="59"/>
      <c r="O26" s="59"/>
      <c r="P26" s="59"/>
      <c r="Q26" s="59"/>
    </row>
    <row r="27" spans="2:17" ht="15" thickBot="1" x14ac:dyDescent="0.4">
      <c r="B27" s="65" t="s">
        <v>6</v>
      </c>
      <c r="C27" s="66"/>
      <c r="H27" s="35" t="str">
        <f t="shared" si="2"/>
        <v>LMW</v>
      </c>
      <c r="I27" s="32">
        <f>IF(C21&gt;0,'Transport Parameter Calculation'!O31,"None")</f>
        <v>2.9557497625047186E-2</v>
      </c>
      <c r="L27" s="59"/>
      <c r="M27" s="59"/>
      <c r="N27" s="59"/>
      <c r="O27" s="59"/>
      <c r="P27" s="59"/>
      <c r="Q27" s="59"/>
    </row>
    <row r="28" spans="2:17" x14ac:dyDescent="0.35">
      <c r="B28" s="41" t="s">
        <v>7</v>
      </c>
      <c r="C28" s="22">
        <v>3</v>
      </c>
      <c r="H28" s="35" t="str">
        <f t="shared" si="2"/>
        <v>None, enter 0 as MW</v>
      </c>
      <c r="I28" s="32" t="str">
        <f>IF(C22&gt;0,'Transport Parameter Calculation'!O32,"None")</f>
        <v>None</v>
      </c>
      <c r="L28" s="59"/>
      <c r="M28" s="59"/>
      <c r="N28" s="59"/>
      <c r="O28" s="59"/>
      <c r="P28" s="59"/>
      <c r="Q28" s="59"/>
    </row>
    <row r="29" spans="2:17" ht="17" thickBot="1" x14ac:dyDescent="0.4">
      <c r="D29" s="38"/>
      <c r="H29" s="40" t="s">
        <v>130</v>
      </c>
      <c r="I29" s="40">
        <f>'Transport Parameter Calculation'!O6</f>
        <v>0.12248809170886488</v>
      </c>
      <c r="L29" s="59"/>
      <c r="M29" s="59"/>
      <c r="N29" s="59"/>
      <c r="O29" s="59"/>
      <c r="P29" s="59"/>
      <c r="Q29" s="59"/>
    </row>
    <row r="30" spans="2:17" ht="17" thickBot="1" x14ac:dyDescent="0.4">
      <c r="B30" s="37" t="s">
        <v>57</v>
      </c>
      <c r="C30" s="46"/>
      <c r="D30" s="47" t="s">
        <v>64</v>
      </c>
      <c r="H30" s="48" t="s">
        <v>135</v>
      </c>
      <c r="I30" s="48">
        <f>'Transport Parameter Calculation'!O43</f>
        <v>220.91438071898077</v>
      </c>
      <c r="L30" s="59"/>
      <c r="M30" s="59"/>
      <c r="N30" s="59"/>
      <c r="O30" s="59"/>
      <c r="P30" s="59"/>
      <c r="Q30" s="59"/>
    </row>
    <row r="31" spans="2:17" x14ac:dyDescent="0.35">
      <c r="B31" s="44" t="s">
        <v>61</v>
      </c>
      <c r="C31" s="41" t="s">
        <v>66</v>
      </c>
      <c r="D31" s="68">
        <f>AVERAGE(C32:C33)</f>
        <v>35</v>
      </c>
      <c r="H31" s="43" t="s">
        <v>126</v>
      </c>
      <c r="I31" s="40"/>
      <c r="L31" s="59"/>
      <c r="M31" s="59"/>
      <c r="N31" s="59"/>
      <c r="O31" s="59"/>
      <c r="P31" s="59"/>
      <c r="Q31" s="59"/>
    </row>
    <row r="32" spans="2:17" x14ac:dyDescent="0.35">
      <c r="B32" s="67" t="s">
        <v>62</v>
      </c>
      <c r="C32" s="20">
        <v>35</v>
      </c>
      <c r="D32" s="68"/>
      <c r="H32" s="35" t="s">
        <v>13</v>
      </c>
      <c r="I32" s="32">
        <f>Ee</f>
        <v>0.4</v>
      </c>
      <c r="L32" s="59"/>
      <c r="M32" s="59"/>
      <c r="N32" s="59"/>
      <c r="O32" s="59"/>
      <c r="P32" s="59"/>
      <c r="Q32" s="59"/>
    </row>
    <row r="33" spans="2:17" x14ac:dyDescent="0.35">
      <c r="B33" s="67"/>
      <c r="C33" s="21">
        <v>35</v>
      </c>
      <c r="D33" s="63">
        <f>AVERAGE(C34:C35)</f>
        <v>18.75</v>
      </c>
      <c r="H33" s="35" t="s">
        <v>14</v>
      </c>
      <c r="I33" s="32">
        <f>Ep</f>
        <v>0.6</v>
      </c>
      <c r="L33" s="59"/>
      <c r="M33" s="59"/>
      <c r="N33" s="59"/>
      <c r="O33" s="59"/>
      <c r="P33" s="59"/>
      <c r="Q33" s="59"/>
    </row>
    <row r="34" spans="2:17" x14ac:dyDescent="0.35">
      <c r="B34" s="61" t="s">
        <v>63</v>
      </c>
      <c r="C34" s="20">
        <v>19</v>
      </c>
      <c r="D34" s="68"/>
      <c r="H34" s="35" t="s">
        <v>8</v>
      </c>
      <c r="I34" s="32">
        <f>Et</f>
        <v>0.76</v>
      </c>
      <c r="L34" s="59"/>
      <c r="M34" s="59"/>
      <c r="N34" s="59"/>
      <c r="O34" s="59"/>
      <c r="P34" s="59"/>
      <c r="Q34" s="59"/>
    </row>
    <row r="35" spans="2:17" x14ac:dyDescent="0.35">
      <c r="B35" s="67"/>
      <c r="C35" s="21">
        <v>18.5</v>
      </c>
      <c r="D35" s="63">
        <f>AVERAGE(C36:C37)</f>
        <v>0.52500000000000002</v>
      </c>
      <c r="H35" s="45" t="s">
        <v>127</v>
      </c>
      <c r="I35" s="40"/>
      <c r="L35" s="59"/>
      <c r="M35" s="59"/>
      <c r="N35" s="59"/>
      <c r="O35" s="59"/>
      <c r="P35" s="59"/>
      <c r="Q35" s="59"/>
    </row>
    <row r="36" spans="2:17" x14ac:dyDescent="0.35">
      <c r="B36" s="61" t="s">
        <v>67</v>
      </c>
      <c r="C36" s="20">
        <v>0.6</v>
      </c>
      <c r="D36" s="64"/>
      <c r="H36" s="49" t="s">
        <v>124</v>
      </c>
      <c r="I36" s="32">
        <f>qRs</f>
        <v>0.45</v>
      </c>
      <c r="L36" s="59"/>
      <c r="M36" s="59"/>
      <c r="N36" s="59"/>
      <c r="O36" s="59"/>
      <c r="P36" s="59"/>
      <c r="Q36" s="59"/>
    </row>
    <row r="37" spans="2:17" ht="16.5" x14ac:dyDescent="0.35">
      <c r="B37" s="62"/>
      <c r="C37" s="22">
        <v>0.45</v>
      </c>
      <c r="D37" s="53" t="s">
        <v>179</v>
      </c>
      <c r="H37" s="50" t="s">
        <v>131</v>
      </c>
      <c r="I37" s="51">
        <f>I36*1000/C11</f>
        <v>9.7826086956521731E-7</v>
      </c>
      <c r="L37" s="59"/>
      <c r="M37" s="59"/>
      <c r="N37" s="59"/>
      <c r="O37" s="59"/>
      <c r="P37" s="59"/>
      <c r="Q37" s="59"/>
    </row>
    <row r="38" spans="2:17" x14ac:dyDescent="0.35">
      <c r="B38" s="56" t="s">
        <v>180</v>
      </c>
      <c r="C38" s="57"/>
      <c r="D38" s="54"/>
      <c r="H38" s="24"/>
    </row>
    <row r="39" spans="2:17" x14ac:dyDescent="0.35">
      <c r="B39" s="52" t="s">
        <v>13</v>
      </c>
      <c r="C39" s="23">
        <v>0.4</v>
      </c>
      <c r="D39" s="55"/>
      <c r="H39" s="24"/>
    </row>
    <row r="40" spans="2:17" x14ac:dyDescent="0.35">
      <c r="B40" s="49" t="s">
        <v>14</v>
      </c>
      <c r="C40" s="20">
        <v>0.6</v>
      </c>
      <c r="H40" s="24"/>
    </row>
    <row r="41" spans="2:17" x14ac:dyDescent="0.35">
      <c r="B41" s="33"/>
      <c r="C41" s="34"/>
    </row>
  </sheetData>
  <protectedRanges>
    <protectedRange algorithmName="SHA-512" hashValue="Th8zX255ylJRctY+2iYA5TnHOwhzOjtt6EcWLY11HF5x965IaehqeXciJ7EB6GV4ENoywD9xa5mZM+Z4GGPddA==" saltValue="If4gv57KGJM+snP2UV08iw==" spinCount="100000" sqref="A3:C4 B15:B26 B27:C27 B28:B29 B30:C30 B31:B37 B13:C14 D3:D28 C26 D31:D37 B38:C38 A11:A34 A5:B10 C29:D29 B11:B12" name="Inputs labels"/>
  </protectedRanges>
  <mergeCells count="15">
    <mergeCell ref="D37:D39"/>
    <mergeCell ref="B38:C38"/>
    <mergeCell ref="B2:D2"/>
    <mergeCell ref="H2:I2"/>
    <mergeCell ref="L4:Q37"/>
    <mergeCell ref="D15:D16"/>
    <mergeCell ref="B36:B37"/>
    <mergeCell ref="D35:D36"/>
    <mergeCell ref="B4:C4"/>
    <mergeCell ref="B14:C14"/>
    <mergeCell ref="B27:C27"/>
    <mergeCell ref="B32:B33"/>
    <mergeCell ref="B34:B35"/>
    <mergeCell ref="D31:D32"/>
    <mergeCell ref="D33:D34"/>
  </mergeCells>
  <pageMargins left="0.7" right="0.7" top="0.75" bottom="0.75" header="0.3" footer="0.3"/>
  <legacy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0C1FB7A-CE4C-4BBC-BB01-0A37C192E8A8}">
          <x14:formula1>
            <xm:f>'List for component names'!$B$2:$B$10</xm:f>
          </x14:formula1>
          <xm:sqref>B18:B22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A19F3-B2D1-4A0A-9AED-E7B311E93FD0}">
  <dimension ref="A1:O90"/>
  <sheetViews>
    <sheetView zoomScale="73" zoomScaleNormal="55" workbookViewId="0">
      <selection activeCell="I85" sqref="I85"/>
    </sheetView>
  </sheetViews>
  <sheetFormatPr defaultRowHeight="14.5" x14ac:dyDescent="0.35"/>
  <cols>
    <col min="1" max="1" width="20" customWidth="1"/>
    <col min="2" max="2" width="39.1796875" bestFit="1" customWidth="1"/>
    <col min="3" max="3" width="12" bestFit="1" customWidth="1"/>
    <col min="8" max="8" width="91.26953125" bestFit="1" customWidth="1"/>
    <col min="9" max="9" width="12" bestFit="1" customWidth="1"/>
    <col min="10" max="10" width="11.7265625" bestFit="1" customWidth="1"/>
    <col min="14" max="14" width="46.54296875" bestFit="1" customWidth="1"/>
    <col min="15" max="15" width="12" bestFit="1" customWidth="1"/>
  </cols>
  <sheetData>
    <row r="1" spans="1:15" x14ac:dyDescent="0.35">
      <c r="A1" t="s">
        <v>184</v>
      </c>
    </row>
    <row r="2" spans="1:15" ht="15" thickBot="1" x14ac:dyDescent="0.4">
      <c r="B2" s="69" t="s">
        <v>21</v>
      </c>
      <c r="C2" s="70"/>
      <c r="H2" s="69" t="s">
        <v>33</v>
      </c>
      <c r="I2" s="70"/>
      <c r="N2" s="69" t="s">
        <v>41</v>
      </c>
      <c r="O2" s="70"/>
    </row>
    <row r="3" spans="1:15" x14ac:dyDescent="0.35">
      <c r="A3" s="28" t="s">
        <v>137</v>
      </c>
      <c r="B3" s="7" t="s">
        <v>11</v>
      </c>
      <c r="C3" s="7">
        <f>'User Inputs-&gt;Outputs'!C5</f>
        <v>20</v>
      </c>
      <c r="H3" s="9" t="s">
        <v>34</v>
      </c>
      <c r="I3" s="10"/>
      <c r="N3" s="6" t="s">
        <v>70</v>
      </c>
      <c r="O3" s="6">
        <f>col_id*100</f>
        <v>1</v>
      </c>
    </row>
    <row r="4" spans="1:15" x14ac:dyDescent="0.35">
      <c r="A4" s="28" t="s">
        <v>139</v>
      </c>
      <c r="B4" s="6" t="s">
        <v>12</v>
      </c>
      <c r="C4" s="6">
        <f>'User Inputs-&gt;Outputs'!C6</f>
        <v>1</v>
      </c>
      <c r="H4" s="13" t="s">
        <v>192</v>
      </c>
      <c r="I4" s="6"/>
      <c r="N4" s="6" t="s">
        <v>71</v>
      </c>
      <c r="O4" s="6">
        <f>col_length*100</f>
        <v>20</v>
      </c>
    </row>
    <row r="5" spans="1:15" x14ac:dyDescent="0.35">
      <c r="A5" s="28" t="s">
        <v>81</v>
      </c>
      <c r="B5" s="6" t="s">
        <v>13</v>
      </c>
      <c r="C5" s="6">
        <f>IF('User Inputs-&gt;Outputs'!C39&gt;0,'User Inputs-&gt;Outputs'!C39,('User Inputs-&gt;Outputs'!D33-'User Inputs-&gt;Outputs'!D35)/V)</f>
        <v>0.4</v>
      </c>
      <c r="H5" s="8" t="str">
        <f>'User Inputs-&gt;Outputs'!$B$16</f>
        <v>salt</v>
      </c>
      <c r="I5" s="10">
        <f>1+(9/8)*lambda_salt*LN(lambda_salt)-1.56034*lambda_salt+0.528155*lambda_salt^2+1.91521*lambda_salt^3-2.81903*lambda_salt^4+0.270788*lambda_salt^5+1.10115*lambda_salt^6-0.435933*lambda_salt^7</f>
        <v>0.92881992840902494</v>
      </c>
      <c r="N5" s="6" t="s">
        <v>72</v>
      </c>
      <c r="O5" s="6">
        <f>Dpart*1000000</f>
        <v>50</v>
      </c>
    </row>
    <row r="6" spans="1:15" x14ac:dyDescent="0.35">
      <c r="A6" s="28" t="s">
        <v>82</v>
      </c>
      <c r="B6" s="6" t="s">
        <v>14</v>
      </c>
      <c r="C6" s="6">
        <f>IF('User Inputs-&gt;Outputs'!C40&gt;0,'User Inputs-&gt;Outputs'!C40,(Et-Ee)/(1-Ee))</f>
        <v>0.6</v>
      </c>
      <c r="H6" s="8" t="str">
        <f>'User Inputs-&gt;Outputs'!$B$17</f>
        <v>pH</v>
      </c>
      <c r="I6" s="10">
        <f>1+(9/8)*lambda_pH*LN(lambda_pH)-1.56034*lambda_pH+0.528155*lambda_pH^2+1.91521*lambda_pH^3-2.81903*lambda_pH^4+0.270788*lambda_pH^5+1.10115*lambda_pH^6-0.435933*lambda_pH^7</f>
        <v>0.92881992840902494</v>
      </c>
      <c r="N6" s="6" t="s">
        <v>73</v>
      </c>
      <c r="O6" s="6">
        <f>Dax_col*1000000</f>
        <v>0.12248809170886488</v>
      </c>
    </row>
    <row r="7" spans="1:15" x14ac:dyDescent="0.35">
      <c r="A7" s="28" t="s">
        <v>83</v>
      </c>
      <c r="B7" s="6" t="s">
        <v>8</v>
      </c>
      <c r="C7" s="6">
        <f>IF('User Inputs-&gt;Outputs'!C39&gt;0,Ee+(1-Ee)*Ep,('User Inputs-&gt;Outputs'!D31-'User Inputs-&gt;Outputs'!D35)/V)</f>
        <v>0.76</v>
      </c>
      <c r="H7" s="8" t="str">
        <f>'User Inputs-&gt;Outputs'!$B$18</f>
        <v>vHMW</v>
      </c>
      <c r="I7" s="10">
        <f>1+(9/8)*lambda_vHMW*LN(lambda_vHMW)-1.56034*lambda_vHMW+0.528155*lambda_vHMW^2+1.91521*lambda_vHMW^3-2.81903*lambda_vHMW^4+0.270788*lambda_vHMW^5+1.10115*lambda_vHMW^6-0.435933*lambda_vHMW^7</f>
        <v>0.20713734490387217</v>
      </c>
      <c r="N7" s="15" t="s">
        <v>74</v>
      </c>
      <c r="O7" s="18">
        <f>DpMM_salt*1000000</f>
        <v>1.4854596019976511E-4</v>
      </c>
    </row>
    <row r="8" spans="1:15" x14ac:dyDescent="0.35">
      <c r="A8" s="28" t="s">
        <v>141</v>
      </c>
      <c r="B8" s="6" t="s">
        <v>15</v>
      </c>
      <c r="C8" s="6">
        <f>'User Inputs-&gt;Outputs'!C7</f>
        <v>50</v>
      </c>
      <c r="H8" s="8" t="str">
        <f>'User Inputs-&gt;Outputs'!$B$19</f>
        <v>HMW</v>
      </c>
      <c r="I8" s="10">
        <f>1+(9/8)*lambda_HMW*LN(lambda_HMW)-1.56034*lambda_HMW+0.528155*lambda_HMW^2+1.91521*lambda_HMW^3-2.81903*lambda_HMW^4+0.270788*lambda_HMW^5+1.10115*lambda_HMW^6-0.435933*lambda_HMW^7</f>
        <v>0.24619604361473169</v>
      </c>
      <c r="N8" s="4" t="s">
        <v>75</v>
      </c>
      <c r="O8" s="19">
        <f>DpMM_pH*1000000</f>
        <v>1.4854596019976511E-4</v>
      </c>
    </row>
    <row r="9" spans="1:15" ht="16.5" x14ac:dyDescent="0.35">
      <c r="A9" s="28" t="s">
        <v>142</v>
      </c>
      <c r="B9" s="6" t="s">
        <v>195</v>
      </c>
      <c r="C9" s="6">
        <f>0.25*PI()*D^2</f>
        <v>0.78539816339744828</v>
      </c>
      <c r="H9" s="8" t="str">
        <f>'User Inputs-&gt;Outputs'!$B$20</f>
        <v>Main</v>
      </c>
      <c r="I9" s="10">
        <f>1+(9/8)*lambda_Monomer*LN(lambda_Monomer)-1.56034*lambda_Monomer+0.528155*lambda_Monomer^2+1.91521*lambda_Monomer^3-2.81903*lambda_Monomer^4+0.270788*lambda_Monomer^5+1.10115*lambda_Monomer^6-0.435933*lambda_Monomer^7</f>
        <v>0.3966901668986631</v>
      </c>
      <c r="N9" s="4" t="s">
        <v>76</v>
      </c>
      <c r="O9" s="19">
        <f>Dp_vHMW*1000000</f>
        <v>9.0435600948727726E-7</v>
      </c>
    </row>
    <row r="10" spans="1:15" x14ac:dyDescent="0.35">
      <c r="A10" s="28" t="s">
        <v>140</v>
      </c>
      <c r="B10" s="6" t="s">
        <v>9</v>
      </c>
      <c r="C10" s="6">
        <f>Ac*L</f>
        <v>15.707963267948966</v>
      </c>
      <c r="H10" s="8" t="str">
        <f>'User Inputs-&gt;Outputs'!$B$21</f>
        <v>LMW</v>
      </c>
      <c r="I10" s="10">
        <f>1+(9/8)*lambda_LMW*LN(lambda_LMW)-1.56034*lambda_LMW+0.528155*lambda_LMW^2+1.91521*lambda_LMW^3-2.81903*lambda_LMW^4+0.270788*lambda_LMW^5+1.10115*lambda_LMW^6-0.435933*lambda_LMW^7</f>
        <v>0.44943419357566711</v>
      </c>
      <c r="N10" s="4" t="s">
        <v>77</v>
      </c>
      <c r="O10" s="10">
        <f>Dp_HMW*1000000</f>
        <v>1.1921407805858301E-6</v>
      </c>
    </row>
    <row r="11" spans="1:15" x14ac:dyDescent="0.35">
      <c r="A11" s="28" t="s">
        <v>143</v>
      </c>
      <c r="B11" s="6" t="s">
        <v>16</v>
      </c>
      <c r="C11" s="6">
        <f>V/residence_time/V</f>
        <v>5.5555555555555558E-3</v>
      </c>
      <c r="H11" s="12" t="str">
        <f>'User Inputs-&gt;Outputs'!$B$22</f>
        <v>None, enter 0 as MW</v>
      </c>
      <c r="I11" s="7" t="e">
        <f>1+(9/8)*lambda_vLMW*LN(lambda_vLMW)-1.56034*lambda_vLMW+0.528155*lambda_vLMW^2+1.91521*lambda_vLMW^3-2.81903*lambda_vLMW^4+0.270788*lambda_vLMW^5+1.10115*lambda_vLMW^6-0.435933*lambda_vLMW^7</f>
        <v>#VALUE!</v>
      </c>
      <c r="N11" s="4" t="s">
        <v>78</v>
      </c>
      <c r="O11" s="10">
        <f>Dp_Monomer*1000000</f>
        <v>2.8524224765815146E-6</v>
      </c>
    </row>
    <row r="12" spans="1:15" x14ac:dyDescent="0.35">
      <c r="A12" s="28" t="s">
        <v>144</v>
      </c>
      <c r="B12" s="6" t="s">
        <v>17</v>
      </c>
      <c r="C12" s="6">
        <v>200</v>
      </c>
      <c r="H12" s="13" t="s">
        <v>35</v>
      </c>
      <c r="I12" s="6"/>
      <c r="N12" s="4" t="s">
        <v>79</v>
      </c>
      <c r="O12" s="10">
        <f>Dp_LMW*1000000</f>
        <v>3.7394158952856194E-6</v>
      </c>
    </row>
    <row r="13" spans="1:15" x14ac:dyDescent="0.35">
      <c r="A13" s="28" t="s">
        <v>145</v>
      </c>
      <c r="B13" s="6" t="s">
        <v>18</v>
      </c>
      <c r="C13" s="6">
        <f>'User Inputs-&gt;Outputs'!C12</f>
        <v>1</v>
      </c>
      <c r="H13" s="8" t="str">
        <f>'User Inputs-&gt;Outputs'!B18</f>
        <v>vHMW</v>
      </c>
      <c r="I13" s="10">
        <f>(Ep*Do_vHMW*psi_vHMW)/tau</f>
        <v>9.0435600948727726E-13</v>
      </c>
      <c r="N13" s="5" t="s">
        <v>80</v>
      </c>
      <c r="O13" s="7" t="e">
        <f>Dp_vLMW*1000000</f>
        <v>#VALUE!</v>
      </c>
    </row>
    <row r="14" spans="1:15" x14ac:dyDescent="0.35">
      <c r="A14" s="28" t="s">
        <v>204</v>
      </c>
      <c r="B14" s="6" t="s">
        <v>185</v>
      </c>
      <c r="C14" s="6">
        <f>'User Inputs-&gt;Outputs'!C10</f>
        <v>0.108</v>
      </c>
      <c r="H14" s="8" t="str">
        <f>'User Inputs-&gt;Outputs'!B19</f>
        <v>HMW</v>
      </c>
      <c r="I14" s="10">
        <f>(Ep*Do_HMW*psi_HMW)/tau</f>
        <v>1.1921407805858302E-12</v>
      </c>
      <c r="N14" s="6" t="s">
        <v>81</v>
      </c>
      <c r="O14" s="6">
        <f>Ee</f>
        <v>0.4</v>
      </c>
    </row>
    <row r="15" spans="1:15" x14ac:dyDescent="0.35">
      <c r="A15" s="28" t="s">
        <v>205</v>
      </c>
      <c r="B15" s="6" t="s">
        <v>189</v>
      </c>
      <c r="C15" s="6">
        <f>qR/(1-Et)</f>
        <v>0.45</v>
      </c>
      <c r="H15" s="8" t="str">
        <f>'User Inputs-&gt;Outputs'!B20</f>
        <v>Main</v>
      </c>
      <c r="I15" s="10">
        <f>(Ep*Do_Monomer*psi_Monomer)/tau</f>
        <v>2.8524224765815147E-12</v>
      </c>
      <c r="N15" s="6" t="s">
        <v>82</v>
      </c>
      <c r="O15" s="6">
        <f>Ep</f>
        <v>0.6</v>
      </c>
    </row>
    <row r="16" spans="1:15" ht="16.5" x14ac:dyDescent="0.35">
      <c r="A16" s="28" t="s">
        <v>190</v>
      </c>
      <c r="B16" s="6" t="s">
        <v>125</v>
      </c>
      <c r="C16" s="14">
        <f>'User Inputs-&gt;Outputs'!C11</f>
        <v>460000000</v>
      </c>
      <c r="H16" s="8" t="str">
        <f>'User Inputs-&gt;Outputs'!B21</f>
        <v>LMW</v>
      </c>
      <c r="I16" s="10">
        <f>(Ep*Do_LMW*psi_LMW)/tau</f>
        <v>3.7394158952856193E-12</v>
      </c>
      <c r="N16" s="6" t="s">
        <v>83</v>
      </c>
      <c r="O16" s="6">
        <f>Et</f>
        <v>0.76</v>
      </c>
    </row>
    <row r="17" spans="1:15" x14ac:dyDescent="0.35">
      <c r="A17" s="28" t="s">
        <v>146</v>
      </c>
      <c r="B17" s="6" t="s">
        <v>19</v>
      </c>
      <c r="C17" s="6">
        <f>F*V/Ac</f>
        <v>0.1111111111111111</v>
      </c>
      <c r="H17" s="8" t="str">
        <f>'User Inputs-&gt;Outputs'!B22</f>
        <v>None, enter 0 as MW</v>
      </c>
      <c r="I17" s="10" t="e">
        <f>(Ep*Do_vLMW*psi_vLMW)/tau</f>
        <v>#VALUE!</v>
      </c>
      <c r="N17" s="6" t="s">
        <v>84</v>
      </c>
      <c r="O17" s="6">
        <f>flow_rate*1000000*60</f>
        <v>5.2359877559829897</v>
      </c>
    </row>
    <row r="18" spans="1:15" x14ac:dyDescent="0.35">
      <c r="A18" s="28" t="s">
        <v>147</v>
      </c>
      <c r="B18" s="6" t="s">
        <v>20</v>
      </c>
      <c r="C18" s="6">
        <f>u/Ee</f>
        <v>0.27777777777777773</v>
      </c>
      <c r="H18" s="13" t="s">
        <v>68</v>
      </c>
      <c r="I18" s="6"/>
      <c r="N18" s="6" t="s">
        <v>85</v>
      </c>
      <c r="O18" s="6">
        <f>int_vel*100</f>
        <v>0.27777777777777773</v>
      </c>
    </row>
    <row r="19" spans="1:15" x14ac:dyDescent="0.35">
      <c r="A19" s="28" t="s">
        <v>148</v>
      </c>
      <c r="B19" s="6" t="s">
        <v>193</v>
      </c>
      <c r="C19" s="6">
        <f>'User Inputs-&gt;Outputs'!C9</f>
        <v>4</v>
      </c>
      <c r="H19" s="25" t="str">
        <f>'User Inputs-&gt;Outputs'!B16</f>
        <v>salt</v>
      </c>
      <c r="I19" s="10">
        <f>(Ep/(2-Ep))^2*Do_salt</f>
        <v>1.4854596019976511E-10</v>
      </c>
      <c r="N19" s="15" t="s">
        <v>86</v>
      </c>
      <c r="O19" s="11">
        <f>keff_salt*1000</f>
        <v>1.6202808090648731E-2</v>
      </c>
    </row>
    <row r="20" spans="1:15" x14ac:dyDescent="0.35">
      <c r="A20" s="28" t="s">
        <v>149</v>
      </c>
      <c r="B20" s="6" t="s">
        <v>186</v>
      </c>
      <c r="C20" s="6">
        <f>'User Inputs-&gt;Outputs'!C8</f>
        <v>25</v>
      </c>
      <c r="H20" s="26" t="str">
        <f>'User Inputs-&gt;Outputs'!B17</f>
        <v>pH</v>
      </c>
      <c r="I20" s="7">
        <f>(Ep/(2-Ep))^2*Do_pH</f>
        <v>1.4854596019976511E-10</v>
      </c>
      <c r="N20" s="4" t="s">
        <v>87</v>
      </c>
      <c r="O20" s="10">
        <f>keff_pH*1000</f>
        <v>1.6202808090648731E-2</v>
      </c>
    </row>
    <row r="21" spans="1:15" x14ac:dyDescent="0.35">
      <c r="A21" s="28" t="s">
        <v>150</v>
      </c>
      <c r="B21" s="6" t="s">
        <v>4</v>
      </c>
      <c r="C21" s="6">
        <f>'User Inputs-&gt;Outputs'!C25</f>
        <v>1E-3</v>
      </c>
      <c r="N21" s="4" t="s">
        <v>88</v>
      </c>
      <c r="O21" s="10">
        <f>keff_vHMW*1000</f>
        <v>1.0791239455503478E-4</v>
      </c>
    </row>
    <row r="22" spans="1:15" x14ac:dyDescent="0.35">
      <c r="H22" s="1"/>
      <c r="N22" s="4" t="s">
        <v>89</v>
      </c>
      <c r="O22" s="10">
        <f>keff_HMW*1000</f>
        <v>1.4206868065922042E-4</v>
      </c>
    </row>
    <row r="23" spans="1:15" ht="15" thickBot="1" x14ac:dyDescent="0.4">
      <c r="B23" s="71" t="s">
        <v>22</v>
      </c>
      <c r="C23" s="72"/>
      <c r="H23" s="69" t="s">
        <v>36</v>
      </c>
      <c r="I23" s="70"/>
      <c r="N23" s="4" t="s">
        <v>90</v>
      </c>
      <c r="O23" s="10">
        <f>keff_Monomer*1000</f>
        <v>3.3797477963677598E-4</v>
      </c>
    </row>
    <row r="24" spans="1:15" x14ac:dyDescent="0.35">
      <c r="B24" s="13" t="s">
        <v>23</v>
      </c>
      <c r="C24" s="6"/>
      <c r="H24" s="5" t="s">
        <v>51</v>
      </c>
      <c r="I24" s="7">
        <f>rho*lin_vel*Dpart/visc</f>
        <v>5.5555555555555559E-2</v>
      </c>
      <c r="N24" s="4" t="s">
        <v>91</v>
      </c>
      <c r="O24" s="10">
        <f>keff_LMw*1000</f>
        <v>4.4201934944733629E-4</v>
      </c>
    </row>
    <row r="25" spans="1:15" x14ac:dyDescent="0.35">
      <c r="A25" s="28" t="s">
        <v>101</v>
      </c>
      <c r="B25" s="8" t="str">
        <f>'User Inputs-&gt;Outputs'!$B$16</f>
        <v>salt</v>
      </c>
      <c r="C25" s="10">
        <f>IF('User Inputs-&gt;Outputs'!C16&gt;0,'User Inputs-&gt;Outputs'!C16,"None")</f>
        <v>5.8400000000000001E-2</v>
      </c>
      <c r="H25" s="17" t="s">
        <v>52</v>
      </c>
      <c r="I25" s="6"/>
      <c r="N25" s="5" t="s">
        <v>92</v>
      </c>
      <c r="O25" s="7" t="e">
        <f>keff_vLMW*1000</f>
        <v>#VALUE!</v>
      </c>
    </row>
    <row r="26" spans="1:15" x14ac:dyDescent="0.35">
      <c r="A26" s="28" t="s">
        <v>102</v>
      </c>
      <c r="B26" s="8" t="str">
        <f>'User Inputs-&gt;Outputs'!$B$17</f>
        <v>pH</v>
      </c>
      <c r="C26" s="10">
        <f>IF('User Inputs-&gt;Outputs'!C17&gt;0,'User Inputs-&gt;Outputs'!C17,"None")</f>
        <v>5.8400000000000001E-2</v>
      </c>
      <c r="H26" s="8" t="str">
        <f>'User Inputs-&gt;Outputs'!$B$16</f>
        <v>salt</v>
      </c>
      <c r="I26" s="10">
        <f>visc/(rho*Do_salt)</f>
        <v>1236.4756950693943</v>
      </c>
      <c r="N26" s="4" t="s">
        <v>93</v>
      </c>
      <c r="O26" s="10">
        <f>kfilm_salt*1000</f>
        <v>0.17798861936317584</v>
      </c>
    </row>
    <row r="27" spans="1:15" x14ac:dyDescent="0.35">
      <c r="A27" s="28" t="s">
        <v>103</v>
      </c>
      <c r="B27" s="8" t="str">
        <f>'User Inputs-&gt;Outputs'!$B$18</f>
        <v>vHMW</v>
      </c>
      <c r="C27" s="10">
        <f>IF('User Inputs-&gt;Outputs'!C18&gt;0,'User Inputs-&gt;Outputs'!C18,"None")</f>
        <v>600</v>
      </c>
      <c r="H27" s="8" t="str">
        <f>'User Inputs-&gt;Outputs'!$B$17</f>
        <v>pH</v>
      </c>
      <c r="I27" s="10">
        <f>visc/(rho*Do_pH)</f>
        <v>1236.4756950693943</v>
      </c>
      <c r="N27" s="4" t="s">
        <v>94</v>
      </c>
      <c r="O27" s="10">
        <f>kfilm_pH*1000</f>
        <v>0.17798861936317584</v>
      </c>
    </row>
    <row r="28" spans="1:15" x14ac:dyDescent="0.35">
      <c r="A28" s="28" t="s">
        <v>104</v>
      </c>
      <c r="B28" s="8" t="str">
        <f>'User Inputs-&gt;Outputs'!$B$19</f>
        <v>HMW</v>
      </c>
      <c r="C28" s="10">
        <f>IF('User Inputs-&gt;Outputs'!C19&gt;0,'User Inputs-&gt;Outputs'!C19,"None")</f>
        <v>450</v>
      </c>
      <c r="H28" s="8" t="str">
        <f>'User Inputs-&gt;Outputs'!$B$18</f>
        <v>vHMW</v>
      </c>
      <c r="I28" s="10">
        <f>visc/(rho*Do_vHMW)</f>
        <v>34356.604489415891</v>
      </c>
      <c r="N28" s="4" t="s">
        <v>95</v>
      </c>
      <c r="O28" s="10">
        <f>kfilm_vHMW*1000</f>
        <v>1.9188000358272232E-2</v>
      </c>
    </row>
    <row r="29" spans="1:15" x14ac:dyDescent="0.35">
      <c r="A29" s="28" t="s">
        <v>105</v>
      </c>
      <c r="B29" s="8" t="str">
        <f>'User Inputs-&gt;Outputs'!$B$20</f>
        <v>Main</v>
      </c>
      <c r="C29" s="10">
        <f>IF('User Inputs-&gt;Outputs'!C20&gt;0,'User Inputs-&gt;Outputs'!C20,"None")</f>
        <v>150</v>
      </c>
      <c r="H29" s="8" t="str">
        <f>'User Inputs-&gt;Outputs'!$B$19</f>
        <v>HMW</v>
      </c>
      <c r="I29" s="10">
        <f>visc/(rho*Do_HMW)</f>
        <v>30977.387187494969</v>
      </c>
      <c r="N29" s="4" t="s">
        <v>96</v>
      </c>
      <c r="O29" s="10">
        <f>kfilm_HMW*1000</f>
        <v>2.0566319118537586E-2</v>
      </c>
    </row>
    <row r="30" spans="1:15" x14ac:dyDescent="0.35">
      <c r="A30" s="28" t="s">
        <v>106</v>
      </c>
      <c r="B30" s="8" t="str">
        <f>'User Inputs-&gt;Outputs'!$B$21</f>
        <v>LMW</v>
      </c>
      <c r="C30" s="10">
        <f>IF('User Inputs-&gt;Outputs'!C21&gt;0,'User Inputs-&gt;Outputs'!C21,"None")</f>
        <v>100</v>
      </c>
      <c r="H30" s="8" t="str">
        <f>'User Inputs-&gt;Outputs'!$B$20</f>
        <v>Main</v>
      </c>
      <c r="I30" s="10">
        <f>visc/(rho*Do_Monomer)</f>
        <v>20860.698414532006</v>
      </c>
      <c r="N30" s="4" t="s">
        <v>97</v>
      </c>
      <c r="O30" s="10">
        <f>kfilm_Monomer*1000</f>
        <v>2.6804409846492201E-2</v>
      </c>
    </row>
    <row r="31" spans="1:15" x14ac:dyDescent="0.35">
      <c r="A31" s="28" t="s">
        <v>107</v>
      </c>
      <c r="B31" s="8" t="str">
        <f>'User Inputs-&gt;Outputs'!$B$22</f>
        <v>None, enter 0 as MW</v>
      </c>
      <c r="C31" s="10" t="str">
        <f>IF('User Inputs-&gt;Outputs'!C22&gt;0,'User Inputs-&gt;Outputs'!C22,"None")</f>
        <v>None</v>
      </c>
      <c r="H31" s="8" t="str">
        <f>'User Inputs-&gt;Outputs'!$B$21</f>
        <v>LMW</v>
      </c>
      <c r="I31" s="10">
        <f>visc/(rho*Do_LMW)</f>
        <v>18028.251182582313</v>
      </c>
      <c r="N31" s="4" t="s">
        <v>98</v>
      </c>
      <c r="O31" s="10">
        <f>kfilm_LMW*1000</f>
        <v>2.9557497625047186E-2</v>
      </c>
    </row>
    <row r="32" spans="1:15" x14ac:dyDescent="0.35">
      <c r="A32" s="28"/>
      <c r="B32" s="13" t="s">
        <v>24</v>
      </c>
      <c r="C32" s="6"/>
      <c r="H32" s="8" t="str">
        <f>'User Inputs-&gt;Outputs'!$B$22</f>
        <v>None, enter 0 as MW</v>
      </c>
      <c r="I32" s="10" t="e">
        <f>visc/(rho*Do_vLMW)</f>
        <v>#VALUE!</v>
      </c>
      <c r="N32" s="4" t="s">
        <v>99</v>
      </c>
      <c r="O32" s="10" t="e">
        <f>kfilm_vLMW*1000</f>
        <v>#VALUE!</v>
      </c>
    </row>
    <row r="33" spans="1:15" x14ac:dyDescent="0.35">
      <c r="A33" s="28" t="s">
        <v>151</v>
      </c>
      <c r="B33" s="8" t="str">
        <f>'User Inputs-&gt;Outputs'!$B$16</f>
        <v>salt</v>
      </c>
      <c r="C33" s="10">
        <f>IF('User Inputs-&gt;Outputs'!C16&gt;0,0.7426*MW_salt^0.3599,"None")</f>
        <v>0.26716953129836313</v>
      </c>
      <c r="H33" s="13" t="s">
        <v>37</v>
      </c>
      <c r="I33" s="6"/>
      <c r="N33" s="13" t="s">
        <v>50</v>
      </c>
      <c r="O33" s="6">
        <f>ionic_cap/1000</f>
        <v>0.45</v>
      </c>
    </row>
    <row r="34" spans="1:15" x14ac:dyDescent="0.35">
      <c r="A34" s="28" t="s">
        <v>152</v>
      </c>
      <c r="B34" s="8" t="str">
        <f>'User Inputs-&gt;Outputs'!$B$17</f>
        <v>pH</v>
      </c>
      <c r="C34" s="10">
        <f>IF('User Inputs-&gt;Outputs'!C17&gt;0,0.7426*MW_pH^0.3599,"None")</f>
        <v>0.26716953129836313</v>
      </c>
      <c r="H34" s="8" t="str">
        <f>'User Inputs-&gt;Outputs'!$B$16</f>
        <v>salt</v>
      </c>
      <c r="I34" s="10">
        <f>1.09*Re^0.33*Sc_salt^0.33/Ee</f>
        <v>11.003930092076235</v>
      </c>
      <c r="N34" s="4" t="s">
        <v>100</v>
      </c>
      <c r="O34" s="10">
        <f>lin_vel*100</f>
        <v>0.1111111111111111</v>
      </c>
    </row>
    <row r="35" spans="1:15" x14ac:dyDescent="0.35">
      <c r="A35" s="28" t="s">
        <v>153</v>
      </c>
      <c r="B35" s="8" t="str">
        <f>'User Inputs-&gt;Outputs'!$B$18</f>
        <v>vHMW</v>
      </c>
      <c r="C35" s="10">
        <f>IF('User Inputs-&gt;Outputs'!C18&gt;0,0.7426*MW_vHMW^0.3599,"None")</f>
        <v>7.4235490071038805</v>
      </c>
      <c r="H35" s="8" t="str">
        <f>'User Inputs-&gt;Outputs'!$B$17</f>
        <v>pH</v>
      </c>
      <c r="I35" s="10">
        <f>1.09*Re^0.33*Sc_pH^0.33/Ee</f>
        <v>11.003930092076235</v>
      </c>
      <c r="N35" s="15" t="s">
        <v>101</v>
      </c>
      <c r="O35" s="11">
        <f>MW_salt</f>
        <v>5.8400000000000001E-2</v>
      </c>
    </row>
    <row r="36" spans="1:15" x14ac:dyDescent="0.35">
      <c r="A36" s="28" t="s">
        <v>154</v>
      </c>
      <c r="B36" s="8" t="str">
        <f>'User Inputs-&gt;Outputs'!$B$19</f>
        <v>HMW</v>
      </c>
      <c r="C36" s="10">
        <f>IF('User Inputs-&gt;Outputs'!C19&gt;0,0.7426*MW_HMW^0.3599,"None")</f>
        <v>6.6933899701655406</v>
      </c>
      <c r="H36" s="8" t="str">
        <f>'User Inputs-&gt;Outputs'!$B$18</f>
        <v>vHMW</v>
      </c>
      <c r="I36" s="10">
        <f>1.09*Re^0.33*Sc_vHMW^0.33/Ee</f>
        <v>32.961726962596472</v>
      </c>
      <c r="N36" s="4" t="s">
        <v>102</v>
      </c>
      <c r="O36" s="10">
        <f>MW_pH</f>
        <v>5.8400000000000001E-2</v>
      </c>
    </row>
    <row r="37" spans="1:15" x14ac:dyDescent="0.35">
      <c r="A37" s="28" t="s">
        <v>155</v>
      </c>
      <c r="B37" s="8" t="str">
        <f>'User Inputs-&gt;Outputs'!$B$20</f>
        <v>Main</v>
      </c>
      <c r="C37" s="10">
        <f>IF('User Inputs-&gt;Outputs'!C20&gt;0,0.7426*MW_Monomer^0.3599,"None")</f>
        <v>4.5074424351335365</v>
      </c>
      <c r="H37" s="8" t="str">
        <f>'User Inputs-&gt;Outputs'!$B$19</f>
        <v>HMW</v>
      </c>
      <c r="I37" s="10">
        <f>1.09*Re^0.33*Sc_HMW^0.33/Ee</f>
        <v>31.854541517825957</v>
      </c>
      <c r="N37" s="4" t="s">
        <v>103</v>
      </c>
      <c r="O37" s="10">
        <f>MW_vHMW</f>
        <v>600</v>
      </c>
    </row>
    <row r="38" spans="1:15" x14ac:dyDescent="0.35">
      <c r="A38" s="28" t="s">
        <v>156</v>
      </c>
      <c r="B38" s="8" t="str">
        <f>'User Inputs-&gt;Outputs'!$B$21</f>
        <v>LMW</v>
      </c>
      <c r="C38" s="10">
        <f>IF('User Inputs-&gt;Outputs'!C21&gt;0,0.7426*MW_LMW^0.3599,"None")</f>
        <v>3.8954258767774288</v>
      </c>
      <c r="H38" s="8" t="str">
        <f>'User Inputs-&gt;Outputs'!$B$20</f>
        <v>Main</v>
      </c>
      <c r="I38" s="10">
        <f>1.09*Re^0.33*Sc_Monomer^0.33/Ee</f>
        <v>27.957935499359298</v>
      </c>
      <c r="N38" s="4" t="s">
        <v>104</v>
      </c>
      <c r="O38" s="10">
        <f>MW_HMW</f>
        <v>450</v>
      </c>
    </row>
    <row r="39" spans="1:15" x14ac:dyDescent="0.35">
      <c r="A39" s="28" t="s">
        <v>157</v>
      </c>
      <c r="B39" s="8" t="str">
        <f>'User Inputs-&gt;Outputs'!$B$22</f>
        <v>None, enter 0 as MW</v>
      </c>
      <c r="C39" s="10" t="str">
        <f>IF('User Inputs-&gt;Outputs'!C22&gt;0,0.7426*MW_vLMW^0.3599,"None")</f>
        <v>None</v>
      </c>
      <c r="H39" s="8" t="str">
        <f>'User Inputs-&gt;Outputs'!$B$21</f>
        <v>LMW</v>
      </c>
      <c r="I39" s="10">
        <f>1.09*Re^0.33*Sc_LMW^0.33/Ee</f>
        <v>26.64349957564654</v>
      </c>
      <c r="N39" s="4" t="s">
        <v>105</v>
      </c>
      <c r="O39" s="10">
        <f>MW_Monomer</f>
        <v>150</v>
      </c>
    </row>
    <row r="40" spans="1:15" x14ac:dyDescent="0.35">
      <c r="A40" s="28"/>
      <c r="B40" s="17" t="s">
        <v>191</v>
      </c>
      <c r="C40" s="6"/>
      <c r="H40" s="12" t="str">
        <f>'User Inputs-&gt;Outputs'!$B$22</f>
        <v>None, enter 0 as MW</v>
      </c>
      <c r="I40" s="7" t="e">
        <f>1.09*Re^0.33*Sc_vLMW^0.33/Ee</f>
        <v>#VALUE!</v>
      </c>
      <c r="N40" s="4" t="s">
        <v>106</v>
      </c>
      <c r="O40" s="10">
        <f>MW_LMW</f>
        <v>100</v>
      </c>
    </row>
    <row r="41" spans="1:15" x14ac:dyDescent="0.35">
      <c r="A41" s="28" t="s">
        <v>158</v>
      </c>
      <c r="B41" s="8" t="str">
        <f>'User Inputs-&gt;Outputs'!$B$16</f>
        <v>salt</v>
      </c>
      <c r="C41" s="10">
        <f>IF('User Inputs-&gt;Outputs'!C16&gt;0,Rhyd_salt/Rpore,"None")</f>
        <v>1.0686781251934525E-2</v>
      </c>
      <c r="H41" s="13" t="s">
        <v>38</v>
      </c>
      <c r="I41" s="6"/>
      <c r="N41" s="5" t="s">
        <v>107</v>
      </c>
      <c r="O41" s="7" t="str">
        <f>MW_vLMW</f>
        <v>None</v>
      </c>
    </row>
    <row r="42" spans="1:15" x14ac:dyDescent="0.35">
      <c r="A42" s="28" t="s">
        <v>159</v>
      </c>
      <c r="B42" s="8" t="str">
        <f>'User Inputs-&gt;Outputs'!$B$17</f>
        <v>pH</v>
      </c>
      <c r="C42" s="10">
        <f>IF('User Inputs-&gt;Outputs'!C17&gt;0,Rhyd_pH/Rpore,"None")</f>
        <v>1.0686781251934525E-2</v>
      </c>
      <c r="H42" s="8" t="str">
        <f>'User Inputs-&gt;Outputs'!$B$16</f>
        <v>salt</v>
      </c>
      <c r="I42" s="10">
        <f>Sh_salt*Do_salt/Dpart</f>
        <v>1.7798861936317584E-4</v>
      </c>
      <c r="N42" s="6" t="s">
        <v>108</v>
      </c>
      <c r="O42" s="6">
        <f>col_vol*1000000</f>
        <v>15.707963267948967</v>
      </c>
    </row>
    <row r="43" spans="1:15" x14ac:dyDescent="0.35">
      <c r="A43" s="28" t="s">
        <v>160</v>
      </c>
      <c r="B43" s="8" t="str">
        <f>'User Inputs-&gt;Outputs'!$B$18</f>
        <v>vHMW</v>
      </c>
      <c r="C43" s="10">
        <f>IF('User Inputs-&gt;Outputs'!C18&gt;0,Rhyd_vHMW/Rpore,"None")</f>
        <v>0.2969419602841552</v>
      </c>
      <c r="H43" s="8" t="str">
        <f>'User Inputs-&gt;Outputs'!$B$17</f>
        <v>pH</v>
      </c>
      <c r="I43" s="10">
        <f>Sh_pH*Do_pH/Dpart</f>
        <v>1.7798861936317584E-4</v>
      </c>
      <c r="N43" s="6" t="s">
        <v>109</v>
      </c>
      <c r="O43" s="6">
        <f>Dax_tubing*1000000</f>
        <v>220.91438071898077</v>
      </c>
    </row>
    <row r="44" spans="1:15" x14ac:dyDescent="0.35">
      <c r="A44" s="28" t="s">
        <v>161</v>
      </c>
      <c r="B44" s="8" t="str">
        <f>'User Inputs-&gt;Outputs'!$B$19</f>
        <v>HMW</v>
      </c>
      <c r="C44" s="10">
        <f>IF('User Inputs-&gt;Outputs'!C19&gt;0,Rhyd_HMW/Rpore,"None")</f>
        <v>0.26773559880662162</v>
      </c>
      <c r="H44" s="8" t="str">
        <f>'User Inputs-&gt;Outputs'!$B$18</f>
        <v>vHMW</v>
      </c>
      <c r="I44" s="10">
        <f>Sh_vHMW*Do_vHMW/Dpart</f>
        <v>1.9188000358272233E-5</v>
      </c>
      <c r="N44" s="15" t="s">
        <v>110</v>
      </c>
      <c r="O44" s="11">
        <f>kf_salt*1000</f>
        <v>0.17798861936317584</v>
      </c>
    </row>
    <row r="45" spans="1:15" x14ac:dyDescent="0.35">
      <c r="A45" s="28" t="s">
        <v>162</v>
      </c>
      <c r="B45" s="8" t="str">
        <f>'User Inputs-&gt;Outputs'!$B$20</f>
        <v>Main</v>
      </c>
      <c r="C45" s="10">
        <f>Rhyd_Monomer/Rpore</f>
        <v>0.18029769740534146</v>
      </c>
      <c r="H45" s="8" t="str">
        <f>'User Inputs-&gt;Outputs'!$B$19</f>
        <v>HMW</v>
      </c>
      <c r="I45" s="10">
        <f>Sh_HMW*Do_HMW/Dpart</f>
        <v>2.0566319118537587E-5</v>
      </c>
      <c r="N45" s="4" t="s">
        <v>111</v>
      </c>
      <c r="O45" s="10">
        <f>kf_pH*1000</f>
        <v>0.17798861936317584</v>
      </c>
    </row>
    <row r="46" spans="1:15" x14ac:dyDescent="0.35">
      <c r="A46" s="28" t="s">
        <v>163</v>
      </c>
      <c r="B46" s="8" t="str">
        <f>'User Inputs-&gt;Outputs'!$B$21</f>
        <v>LMW</v>
      </c>
      <c r="C46" s="10">
        <f>IF('User Inputs-&gt;Outputs'!C21&gt;0,Rhyd_LMW/Rpore,"None")</f>
        <v>0.15581703507109715</v>
      </c>
      <c r="H46" s="8" t="str">
        <f>'User Inputs-&gt;Outputs'!$B$20</f>
        <v>Main</v>
      </c>
      <c r="I46" s="10">
        <f>Sh_Monomer*Do_Monomer/Dpart</f>
        <v>2.68044098464922E-5</v>
      </c>
      <c r="N46" s="4" t="s">
        <v>112</v>
      </c>
      <c r="O46" s="10">
        <f>kf_vHMW*1000</f>
        <v>1.9188000358272232E-2</v>
      </c>
    </row>
    <row r="47" spans="1:15" x14ac:dyDescent="0.35">
      <c r="A47" s="28" t="s">
        <v>164</v>
      </c>
      <c r="B47" s="12" t="str">
        <f>'User Inputs-&gt;Outputs'!$B$22</f>
        <v>None, enter 0 as MW</v>
      </c>
      <c r="C47" s="7" t="str">
        <f>IF('User Inputs-&gt;Outputs'!C22&gt;0,Rhyd_vLMW/Rpore,"None")</f>
        <v>None</v>
      </c>
      <c r="H47" s="8" t="str">
        <f>'User Inputs-&gt;Outputs'!$B$21</f>
        <v>LMW</v>
      </c>
      <c r="I47" s="10">
        <f>Sh_LMW*Do_LMW/Dpart</f>
        <v>2.9557497625047185E-5</v>
      </c>
      <c r="N47" s="4" t="s">
        <v>113</v>
      </c>
      <c r="O47" s="10">
        <f>kf_HMW*1000</f>
        <v>2.0566319118537586E-2</v>
      </c>
    </row>
    <row r="48" spans="1:15" ht="16.5" x14ac:dyDescent="0.35">
      <c r="A48" s="28" t="s">
        <v>165</v>
      </c>
      <c r="B48" s="13" t="s">
        <v>196</v>
      </c>
      <c r="C48" s="14">
        <v>1.3806400000000001E-23</v>
      </c>
      <c r="H48" s="8" t="str">
        <f>'User Inputs-&gt;Outputs'!$B$22</f>
        <v>None, enter 0 as MW</v>
      </c>
      <c r="I48" s="10" t="e">
        <f>Sh_vLMW*Do_vLMW/Dpart</f>
        <v>#VALUE!</v>
      </c>
      <c r="N48" s="4" t="s">
        <v>114</v>
      </c>
      <c r="O48" s="10">
        <f>kf_Monomer*1000</f>
        <v>2.6804409846492201E-2</v>
      </c>
    </row>
    <row r="49" spans="1:15" x14ac:dyDescent="0.35">
      <c r="A49" s="28" t="s">
        <v>138</v>
      </c>
      <c r="B49" s="4" t="s">
        <v>5</v>
      </c>
      <c r="C49" s="10">
        <f>273+'User Inputs-&gt;Outputs'!C24</f>
        <v>295</v>
      </c>
      <c r="H49" s="17" t="s">
        <v>55</v>
      </c>
      <c r="I49" s="6"/>
      <c r="N49" s="4" t="s">
        <v>115</v>
      </c>
      <c r="O49" s="10">
        <f>kf_LMW*1000</f>
        <v>2.955749762504719E-2</v>
      </c>
    </row>
    <row r="50" spans="1:15" x14ac:dyDescent="0.35">
      <c r="A50" s="28"/>
      <c r="B50" s="13" t="s">
        <v>25</v>
      </c>
      <c r="C50" s="6"/>
      <c r="H50" s="8" t="str">
        <f>'User Inputs-&gt;Outputs'!$B$16</f>
        <v>salt</v>
      </c>
      <c r="I50" s="10">
        <f>1/(Dpart/(10*Ep*DpMM_salt)+1/kfilm_salt)</f>
        <v>1.6202808090648729E-5</v>
      </c>
      <c r="N50" s="5" t="s">
        <v>116</v>
      </c>
      <c r="O50" s="7" t="e">
        <f>kf_vLMW*1000</f>
        <v>#VALUE!</v>
      </c>
    </row>
    <row r="51" spans="1:15" x14ac:dyDescent="0.35">
      <c r="A51" s="28" t="s">
        <v>166</v>
      </c>
      <c r="B51" s="8" t="str">
        <f>'User Inputs-&gt;Outputs'!$B$16</f>
        <v>salt</v>
      </c>
      <c r="C51" s="10">
        <f>IF('User Inputs-&gt;Outputs'!C16&gt;0,Kb*T/(6*PI()*visc*Rhyd_salt*0.000000001),"None")</f>
        <v>8.0875022775427651E-10</v>
      </c>
      <c r="H51" s="8" t="str">
        <f>'User Inputs-&gt;Outputs'!$B$17</f>
        <v>pH</v>
      </c>
      <c r="I51" s="10">
        <f>1/(Dpart/(10*Ep*DpMM_pH)+1/kfilm_pH)</f>
        <v>1.6202808090648729E-5</v>
      </c>
      <c r="N51" s="4" t="s">
        <v>117</v>
      </c>
      <c r="O51" s="10">
        <f>kp_salt*1000</f>
        <v>1.7825515223971813E-2</v>
      </c>
    </row>
    <row r="52" spans="1:15" x14ac:dyDescent="0.35">
      <c r="A52" s="28" t="s">
        <v>167</v>
      </c>
      <c r="B52" s="8" t="str">
        <f>'User Inputs-&gt;Outputs'!$B$17</f>
        <v>pH</v>
      </c>
      <c r="C52" s="10">
        <f>IF('User Inputs-&gt;Outputs'!C17&gt;0,Kb*T/(6*PI()*visc*Rhyd_pH*0.000000001),"None")</f>
        <v>8.0875022775427651E-10</v>
      </c>
      <c r="H52" s="8" t="str">
        <f>'User Inputs-&gt;Outputs'!$B$18</f>
        <v>vHMW</v>
      </c>
      <c r="I52" s="10">
        <f>1/(Dpart/(10*Ep*Dp_vHMW)+1/kfilm_vHMW)</f>
        <v>1.0791239455503478E-7</v>
      </c>
      <c r="N52" s="4" t="s">
        <v>118</v>
      </c>
      <c r="O52" s="10">
        <f>kp_pH*1000</f>
        <v>1.7825515223971813E-2</v>
      </c>
    </row>
    <row r="53" spans="1:15" x14ac:dyDescent="0.35">
      <c r="A53" s="28" t="s">
        <v>168</v>
      </c>
      <c r="B53" s="8" t="str">
        <f>'User Inputs-&gt;Outputs'!$B$18</f>
        <v>vHMW</v>
      </c>
      <c r="C53" s="10">
        <f>IF('User Inputs-&gt;Outputs'!C18&gt;0,Kb*T/(6*PI()*visc*Rhyd_vHMW*0.000000001),"None")</f>
        <v>2.9106485197280376E-11</v>
      </c>
      <c r="H53" s="8" t="str">
        <f>'User Inputs-&gt;Outputs'!$B$19</f>
        <v>HMW</v>
      </c>
      <c r="I53" s="10">
        <f>1/(Dpart/(10*Ep*Dp_HMW)+1/kfilm_HMW)</f>
        <v>1.4206868065922041E-7</v>
      </c>
      <c r="J53" s="2"/>
      <c r="N53" s="4" t="s">
        <v>119</v>
      </c>
      <c r="O53" s="10">
        <f>kp_vHMW*1000</f>
        <v>1.0852272113847327E-4</v>
      </c>
    </row>
    <row r="54" spans="1:15" x14ac:dyDescent="0.35">
      <c r="A54" s="28" t="s">
        <v>169</v>
      </c>
      <c r="B54" s="8" t="str">
        <f>'User Inputs-&gt;Outputs'!$B$19</f>
        <v>HMW</v>
      </c>
      <c r="C54" s="10">
        <f>IF('User Inputs-&gt;Outputs'!C19&gt;0,Kb*T/(6*PI()*visc*Rhyd_HMW*0.000000001),"None")</f>
        <v>3.2281612194965317E-11</v>
      </c>
      <c r="H54" s="8" t="str">
        <f>'User Inputs-&gt;Outputs'!$B$20</f>
        <v>Main</v>
      </c>
      <c r="I54" s="10">
        <f>1/(Dpart/(10*Ep*Dp_Monomer)+1/kfilm_Monomer)</f>
        <v>3.37974779636776E-7</v>
      </c>
      <c r="N54" s="4" t="s">
        <v>120</v>
      </c>
      <c r="O54" s="10">
        <f>kp_HMW*1000</f>
        <v>1.4305689367029962E-4</v>
      </c>
    </row>
    <row r="55" spans="1:15" x14ac:dyDescent="0.35">
      <c r="A55" s="28" t="s">
        <v>170</v>
      </c>
      <c r="B55" s="8" t="str">
        <f>'User Inputs-&gt;Outputs'!$B$20</f>
        <v>Main</v>
      </c>
      <c r="C55" s="10">
        <f>IF('User Inputs-&gt;Outputs'!C20&gt;0,Kb*T/(6*PI()*visc*Rhyd_Monomer*0.000000001),"None")</f>
        <v>4.7937033560840835E-11</v>
      </c>
      <c r="H55" s="8" t="str">
        <f>'User Inputs-&gt;Outputs'!$B$21</f>
        <v>LMW</v>
      </c>
      <c r="I55" s="10">
        <f>1/(Dpart/(10*Ep*Dp_LMW)+1/kfilm_LMW)</f>
        <v>4.4201934944733626E-7</v>
      </c>
      <c r="N55" s="4" t="s">
        <v>121</v>
      </c>
      <c r="O55" s="10">
        <f>kp_Monomer*1000</f>
        <v>3.4229069718978174E-4</v>
      </c>
    </row>
    <row r="56" spans="1:15" x14ac:dyDescent="0.35">
      <c r="A56" s="28" t="s">
        <v>171</v>
      </c>
      <c r="B56" s="8" t="str">
        <f>'User Inputs-&gt;Outputs'!$B$21</f>
        <v>LMW</v>
      </c>
      <c r="C56" s="10">
        <f>IF('User Inputs-&gt;Outputs'!C21&gt;0,Kb*T/(6*PI()*visc*Rhyd_LMW*0.000000001),"None")</f>
        <v>5.5468497186578641E-11</v>
      </c>
      <c r="H56" s="12" t="str">
        <f>'User Inputs-&gt;Outputs'!$B$22</f>
        <v>None, enter 0 as MW</v>
      </c>
      <c r="I56" s="7" t="e">
        <f>1/(Dpart/(10*Ep*Dp_vLMW)+1/kfilm_vLMW)</f>
        <v>#VALUE!</v>
      </c>
      <c r="N56" s="4" t="s">
        <v>122</v>
      </c>
      <c r="O56" s="10">
        <f>kp_LMW*1000</f>
        <v>4.4872990743427429E-4</v>
      </c>
    </row>
    <row r="57" spans="1:15" x14ac:dyDescent="0.35">
      <c r="A57" s="28" t="s">
        <v>172</v>
      </c>
      <c r="B57" s="8" t="str">
        <f>'User Inputs-&gt;Outputs'!$B$22</f>
        <v>None, enter 0 as MW</v>
      </c>
      <c r="C57" s="10" t="str">
        <f>IF('User Inputs-&gt;Outputs'!C22&gt;0,Kb*T/(6*PI()*visc*Rhyd_vLMW*0.000000001),"None")</f>
        <v>None</v>
      </c>
      <c r="H57" s="17" t="s">
        <v>69</v>
      </c>
      <c r="I57" s="6"/>
      <c r="N57" s="5" t="s">
        <v>123</v>
      </c>
      <c r="O57" s="7" t="e">
        <f>kp_vLMW*1000</f>
        <v>#VALUE!</v>
      </c>
    </row>
    <row r="58" spans="1:15" ht="16.5" x14ac:dyDescent="0.35">
      <c r="A58" s="28" t="s">
        <v>173</v>
      </c>
      <c r="B58" s="6" t="s">
        <v>132</v>
      </c>
      <c r="C58" s="6">
        <f>'User Inputs-&gt;Outputs'!C23</f>
        <v>1000</v>
      </c>
      <c r="H58" s="8" t="str">
        <f>'User Inputs-&gt;Outputs'!$B$16</f>
        <v>salt</v>
      </c>
      <c r="I58" s="10">
        <f>1/(1/kfilm_salt)</f>
        <v>1.7798861936317584E-4</v>
      </c>
    </row>
    <row r="59" spans="1:15" x14ac:dyDescent="0.35">
      <c r="H59" s="8" t="str">
        <f>'User Inputs-&gt;Outputs'!$B$17</f>
        <v>pH</v>
      </c>
      <c r="I59" s="10">
        <f>1/(1/kfilm_pH)</f>
        <v>1.7798861936317584E-4</v>
      </c>
    </row>
    <row r="60" spans="1:15" ht="15" thickBot="1" x14ac:dyDescent="0.4">
      <c r="B60" s="69" t="s">
        <v>32</v>
      </c>
      <c r="C60" s="70"/>
      <c r="H60" s="8" t="str">
        <f>'User Inputs-&gt;Outputs'!$B$18</f>
        <v>vHMW</v>
      </c>
      <c r="I60" s="10">
        <f>1/(1/kfilm_vHMW)</f>
        <v>1.9188000358272233E-5</v>
      </c>
    </row>
    <row r="61" spans="1:15" x14ac:dyDescent="0.35">
      <c r="A61" s="28" t="s">
        <v>70</v>
      </c>
      <c r="B61" s="7" t="s">
        <v>26</v>
      </c>
      <c r="C61" s="7">
        <f>D/100</f>
        <v>0.01</v>
      </c>
      <c r="H61" s="8" t="str">
        <f>'User Inputs-&gt;Outputs'!$B$19</f>
        <v>HMW</v>
      </c>
      <c r="I61" s="10">
        <f>1/(1/kfilm_HMW)</f>
        <v>2.0566319118537587E-5</v>
      </c>
    </row>
    <row r="62" spans="1:15" x14ac:dyDescent="0.35">
      <c r="A62" s="28" t="s">
        <v>71</v>
      </c>
      <c r="B62" s="6" t="s">
        <v>27</v>
      </c>
      <c r="C62" s="6">
        <f>L/100</f>
        <v>0.2</v>
      </c>
      <c r="H62" s="8" t="str">
        <f>'User Inputs-&gt;Outputs'!$B$20</f>
        <v>Main</v>
      </c>
      <c r="I62" s="10">
        <f>1/(1/kfilm_Monomer)</f>
        <v>2.68044098464922E-5</v>
      </c>
    </row>
    <row r="63" spans="1:15" x14ac:dyDescent="0.35">
      <c r="A63" s="28" t="s">
        <v>174</v>
      </c>
      <c r="B63" s="6" t="s">
        <v>53</v>
      </c>
      <c r="C63" s="6">
        <f>D_part/1000000</f>
        <v>5.0000000000000002E-5</v>
      </c>
      <c r="H63" s="8" t="str">
        <f>'User Inputs-&gt;Outputs'!$B$21</f>
        <v>LMW</v>
      </c>
      <c r="I63" s="10">
        <f>1/(1/kfilm_LMW)</f>
        <v>2.9557497625047189E-5</v>
      </c>
    </row>
    <row r="64" spans="1:15" ht="16.5" x14ac:dyDescent="0.35">
      <c r="A64" s="28" t="s">
        <v>175</v>
      </c>
      <c r="B64" s="6" t="s">
        <v>197</v>
      </c>
      <c r="C64" s="6">
        <f>qRs*1000</f>
        <v>450</v>
      </c>
      <c r="H64" s="12" t="str">
        <f>'User Inputs-&gt;Outputs'!$B$22</f>
        <v>None, enter 0 as MW</v>
      </c>
      <c r="I64" s="7" t="e">
        <f>1/(1/kfilm_vLMW)</f>
        <v>#VALUE!</v>
      </c>
    </row>
    <row r="65" spans="1:9" x14ac:dyDescent="0.35">
      <c r="A65" s="28" t="s">
        <v>176</v>
      </c>
      <c r="B65" s="6" t="s">
        <v>28</v>
      </c>
      <c r="C65" s="6">
        <f>tubing_id/1000</f>
        <v>1E-3</v>
      </c>
      <c r="H65" s="17" t="s">
        <v>56</v>
      </c>
      <c r="I65" s="6"/>
    </row>
    <row r="66" spans="1:9" ht="16.5" x14ac:dyDescent="0.35">
      <c r="A66" s="28" t="s">
        <v>177</v>
      </c>
      <c r="B66" s="6" t="s">
        <v>198</v>
      </c>
      <c r="C66" s="6">
        <f>tubing_vol/1000000</f>
        <v>2.0000000000000001E-4</v>
      </c>
      <c r="H66" s="8" t="str">
        <f>'User Inputs-&gt;Outputs'!$B$16</f>
        <v>salt</v>
      </c>
      <c r="I66" s="10">
        <f>1/(Dpart/(10*Ep*DpMM_salt))</f>
        <v>1.7825515223971813E-5</v>
      </c>
    </row>
    <row r="67" spans="1:9" x14ac:dyDescent="0.35">
      <c r="H67" s="8" t="str">
        <f>'User Inputs-&gt;Outputs'!$B$17</f>
        <v>pH</v>
      </c>
      <c r="I67" s="10">
        <f>1/(Dpart/(10*Ep*DpMM_pH))</f>
        <v>1.7825515223971813E-5</v>
      </c>
    </row>
    <row r="68" spans="1:9" ht="15" thickBot="1" x14ac:dyDescent="0.4">
      <c r="B68" s="69" t="s">
        <v>29</v>
      </c>
      <c r="C68" s="70"/>
      <c r="H68" s="8" t="str">
        <f>'User Inputs-&gt;Outputs'!$B$18</f>
        <v>vHMW</v>
      </c>
      <c r="I68" s="10">
        <f>1/(Dpart/(10*Ep*Dp_vHMW))</f>
        <v>1.0852272113847327E-7</v>
      </c>
    </row>
    <row r="69" spans="1:9" x14ac:dyDescent="0.35">
      <c r="A69" s="28" t="s">
        <v>178</v>
      </c>
      <c r="B69" s="7" t="s">
        <v>65</v>
      </c>
      <c r="C69" s="7">
        <f>'User Inputs-&gt;Outputs'!C28*60</f>
        <v>180</v>
      </c>
      <c r="H69" s="8" t="str">
        <f>'User Inputs-&gt;Outputs'!$B$19</f>
        <v>HMW</v>
      </c>
      <c r="I69" s="10">
        <f>1/(Dpart/(10*Ep*Dp_HMW))</f>
        <v>1.4305689367029962E-7</v>
      </c>
    </row>
    <row r="70" spans="1:9" x14ac:dyDescent="0.35">
      <c r="A70" s="28" t="s">
        <v>100</v>
      </c>
      <c r="B70" s="6" t="s">
        <v>30</v>
      </c>
      <c r="C70" s="6">
        <f>col_length/residence_time</f>
        <v>1.1111111111111111E-3</v>
      </c>
      <c r="H70" s="8" t="str">
        <f>'User Inputs-&gt;Outputs'!$B$20</f>
        <v>Main</v>
      </c>
      <c r="I70" s="10">
        <f>1/(Dpart/(10*Ep*Dp_Monomer))</f>
        <v>3.4229069718978172E-7</v>
      </c>
    </row>
    <row r="71" spans="1:9" x14ac:dyDescent="0.35">
      <c r="A71" s="28" t="s">
        <v>85</v>
      </c>
      <c r="B71" s="6" t="s">
        <v>31</v>
      </c>
      <c r="C71" s="6">
        <f>lin_vel/Ee</f>
        <v>2.7777777777777775E-3</v>
      </c>
      <c r="H71" s="8" t="str">
        <f>'User Inputs-&gt;Outputs'!$B$21</f>
        <v>LMW</v>
      </c>
      <c r="I71" s="10">
        <f>1/(Dpart/(10*Ep*Dp_LMW))</f>
        <v>4.4872990743427427E-7</v>
      </c>
    </row>
    <row r="72" spans="1:9" ht="16.5" x14ac:dyDescent="0.35">
      <c r="A72" s="28" t="s">
        <v>84</v>
      </c>
      <c r="B72" s="6" t="s">
        <v>199</v>
      </c>
      <c r="C72" s="6">
        <f>0.25*PI()*col_id^2*col_length/residence_time</f>
        <v>8.7266462599716483E-8</v>
      </c>
      <c r="H72" s="8" t="str">
        <f>'User Inputs-&gt;Outputs'!$B$22</f>
        <v>None, enter 0 as MW</v>
      </c>
      <c r="I72" s="10" t="e">
        <f>1/(Dpart/(10*Ep*Dp_vLMW))</f>
        <v>#VALUE!</v>
      </c>
    </row>
    <row r="73" spans="1:9" ht="16.5" x14ac:dyDescent="0.35">
      <c r="A73" s="28" t="s">
        <v>108</v>
      </c>
      <c r="B73" s="6" t="s">
        <v>200</v>
      </c>
      <c r="C73" s="6">
        <f>0.25*PI()*col_id^2*col_length</f>
        <v>1.5707963267948967E-5</v>
      </c>
      <c r="H73" s="17" t="s">
        <v>59</v>
      </c>
      <c r="I73" s="6"/>
    </row>
    <row r="74" spans="1:9" x14ac:dyDescent="0.35">
      <c r="B74" s="6" t="s">
        <v>48</v>
      </c>
      <c r="C74" s="6">
        <f>COUNT(C25:C31)</f>
        <v>6</v>
      </c>
      <c r="H74" s="8" t="str">
        <f>'User Inputs-&gt;Outputs'!$B$16</f>
        <v>salt</v>
      </c>
      <c r="I74" s="10">
        <f>kfilm_salt*Dpart*0.5/DpMM_salt</f>
        <v>29.955143028429742</v>
      </c>
    </row>
    <row r="75" spans="1:9" x14ac:dyDescent="0.35">
      <c r="H75" s="8" t="str">
        <f>'User Inputs-&gt;Outputs'!$B$17</f>
        <v>pH</v>
      </c>
      <c r="I75" s="10">
        <f>kfilm_pH*Dpart*0.5/DpMM_pH</f>
        <v>29.955143028429742</v>
      </c>
    </row>
    <row r="76" spans="1:9" x14ac:dyDescent="0.35">
      <c r="H76" s="8" t="str">
        <f>'User Inputs-&gt;Outputs'!$B$18</f>
        <v>vHMW</v>
      </c>
      <c r="I76" s="10">
        <f>kfilm_vHMW*Dpart*0.5/Dp_vHMW</f>
        <v>530.43271004388055</v>
      </c>
    </row>
    <row r="77" spans="1:9" x14ac:dyDescent="0.35">
      <c r="H77" s="8" t="str">
        <f>'User Inputs-&gt;Outputs'!$B$19</f>
        <v>HMW</v>
      </c>
      <c r="I77" s="10">
        <f>kfilm_HMW*Dpart*0.5/Dp_HMW</f>
        <v>431.28964828363405</v>
      </c>
    </row>
    <row r="78" spans="1:9" x14ac:dyDescent="0.35">
      <c r="H78" s="8" t="str">
        <f>'User Inputs-&gt;Outputs'!$B$20</f>
        <v>Main</v>
      </c>
      <c r="I78" s="10">
        <f>kfilm_Monomer*Dpart*0.5/Dp_Monomer</f>
        <v>234.92671638368191</v>
      </c>
    </row>
    <row r="79" spans="1:9" x14ac:dyDescent="0.35">
      <c r="H79" s="8" t="str">
        <f>'User Inputs-&gt;Outputs'!$B$21</f>
        <v>LMW</v>
      </c>
      <c r="I79" s="10">
        <f>kfilm_LMW*Dpart*0.5/Dp_LMW</f>
        <v>197.60771770740391</v>
      </c>
    </row>
    <row r="80" spans="1:9" x14ac:dyDescent="0.35">
      <c r="H80" s="8" t="str">
        <f>'User Inputs-&gt;Outputs'!$B$22</f>
        <v>None, enter 0 as MW</v>
      </c>
      <c r="I80" s="10" t="e">
        <f>kfilm_vLMW*Dpart*0.5/Dp_vLMW</f>
        <v>#VALUE!</v>
      </c>
    </row>
    <row r="81" spans="8:9" x14ac:dyDescent="0.35">
      <c r="H81" s="13" t="s">
        <v>39</v>
      </c>
      <c r="I81" s="6">
        <f>(0.7*MIN(C51:C57)/(col_length*lin_vel)+(Dpart/col_length)*(Ee/(0.18+0.008*Re^0.59)))^-1</f>
        <v>1814.2353197109958</v>
      </c>
    </row>
    <row r="82" spans="8:9" ht="16.5" x14ac:dyDescent="0.35">
      <c r="H82" s="6" t="s">
        <v>201</v>
      </c>
      <c r="I82" s="6">
        <f>(lin_vel*col_length)/Pe</f>
        <v>1.2248809170886487E-7</v>
      </c>
    </row>
    <row r="83" spans="8:9" x14ac:dyDescent="0.35">
      <c r="H83" s="16" t="s">
        <v>54</v>
      </c>
      <c r="I83" s="6">
        <f>lin_vel*tubingid/MIN(C51:C57)</f>
        <v>38174.004988239874</v>
      </c>
    </row>
    <row r="84" spans="8:9" x14ac:dyDescent="0.35">
      <c r="H84" s="6" t="s">
        <v>40</v>
      </c>
      <c r="I84" s="6">
        <f>IF(Bo&gt;100,lin_vel^2*tubingid^2/(192*MIN(C51:C57)),MIN(C51:C57)+lin_vel^2*tubingid^2/(192*MIN(C51:C57)))</f>
        <v>2.2091438071898076E-4</v>
      </c>
    </row>
    <row r="86" spans="8:9" x14ac:dyDescent="0.35">
      <c r="H86" s="3"/>
    </row>
    <row r="87" spans="8:9" x14ac:dyDescent="0.35">
      <c r="H87" s="3"/>
    </row>
    <row r="88" spans="8:9" x14ac:dyDescent="0.35">
      <c r="H88" s="3"/>
    </row>
    <row r="89" spans="8:9" x14ac:dyDescent="0.35">
      <c r="H89" s="3"/>
    </row>
    <row r="90" spans="8:9" x14ac:dyDescent="0.35">
      <c r="H90" s="3"/>
    </row>
  </sheetData>
  <mergeCells count="7">
    <mergeCell ref="N2:O2"/>
    <mergeCell ref="B2:C2"/>
    <mergeCell ref="B23:C23"/>
    <mergeCell ref="B60:C60"/>
    <mergeCell ref="B68:C68"/>
    <mergeCell ref="H2:I2"/>
    <mergeCell ref="H23:I2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0DD60-4B30-4B31-8E1C-3E1B5F4B37B1}">
  <dimension ref="B2:B10"/>
  <sheetViews>
    <sheetView workbookViewId="0">
      <selection activeCell="B11" sqref="B11"/>
    </sheetView>
  </sheetViews>
  <sheetFormatPr defaultRowHeight="14.5" x14ac:dyDescent="0.35"/>
  <sheetData>
    <row r="2" spans="2:2" x14ac:dyDescent="0.35">
      <c r="B2" t="s">
        <v>43</v>
      </c>
    </row>
    <row r="3" spans="2:2" x14ac:dyDescent="0.35">
      <c r="B3" t="s">
        <v>44</v>
      </c>
    </row>
    <row r="4" spans="2:2" x14ac:dyDescent="0.35">
      <c r="B4" t="s">
        <v>45</v>
      </c>
    </row>
    <row r="5" spans="2:2" x14ac:dyDescent="0.35">
      <c r="B5" t="s">
        <v>46</v>
      </c>
    </row>
    <row r="6" spans="2:2" x14ac:dyDescent="0.35">
      <c r="B6" t="s">
        <v>47</v>
      </c>
    </row>
    <row r="7" spans="2:2" x14ac:dyDescent="0.35">
      <c r="B7" t="s">
        <v>181</v>
      </c>
    </row>
    <row r="8" spans="2:2" x14ac:dyDescent="0.35">
      <c r="B8" t="s">
        <v>182</v>
      </c>
    </row>
    <row r="9" spans="2:2" x14ac:dyDescent="0.35">
      <c r="B9" t="s">
        <v>183</v>
      </c>
    </row>
    <row r="10" spans="2:2" x14ac:dyDescent="0.35">
      <c r="B10"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133</vt:i4>
      </vt:variant>
    </vt:vector>
  </HeadingPairs>
  <TitlesOfParts>
    <vt:vector size="136" baseType="lpstr">
      <vt:lpstr>User Inputs-&gt;Outputs</vt:lpstr>
      <vt:lpstr>Transport Parameter Calculation</vt:lpstr>
      <vt:lpstr>List for component names</vt:lpstr>
      <vt:lpstr>Ac</vt:lpstr>
      <vt:lpstr>As</vt:lpstr>
      <vt:lpstr>Bi_HMW</vt:lpstr>
      <vt:lpstr>Bi_LMW</vt:lpstr>
      <vt:lpstr>Bi_Monomer</vt:lpstr>
      <vt:lpstr>Bi_pH</vt:lpstr>
      <vt:lpstr>Bi_salt</vt:lpstr>
      <vt:lpstr>Bi_vHMW</vt:lpstr>
      <vt:lpstr>Bi_vLMW</vt:lpstr>
      <vt:lpstr>Bo</vt:lpstr>
      <vt:lpstr>col_id</vt:lpstr>
      <vt:lpstr>col_length</vt:lpstr>
      <vt:lpstr>col_vol</vt:lpstr>
      <vt:lpstr>D</vt:lpstr>
      <vt:lpstr>D_part</vt:lpstr>
      <vt:lpstr>Dax_col</vt:lpstr>
      <vt:lpstr>Dax_tubing</vt:lpstr>
      <vt:lpstr>Do_HMW</vt:lpstr>
      <vt:lpstr>Do_LMW</vt:lpstr>
      <vt:lpstr>Do_Monomer</vt:lpstr>
      <vt:lpstr>Do_pH</vt:lpstr>
      <vt:lpstr>Do_salt</vt:lpstr>
      <vt:lpstr>Do_vHMW</vt:lpstr>
      <vt:lpstr>Do_vLMW</vt:lpstr>
      <vt:lpstr>Dp_HMW</vt:lpstr>
      <vt:lpstr>Dp_LMW</vt:lpstr>
      <vt:lpstr>Dp_Monomer</vt:lpstr>
      <vt:lpstr>Dp_vHMW</vt:lpstr>
      <vt:lpstr>Dp_vLMW</vt:lpstr>
      <vt:lpstr>Dpart</vt:lpstr>
      <vt:lpstr>DpMM_pH</vt:lpstr>
      <vt:lpstr>DpMM_salt</vt:lpstr>
      <vt:lpstr>Ee</vt:lpstr>
      <vt:lpstr>Ep</vt:lpstr>
      <vt:lpstr>Et</vt:lpstr>
      <vt:lpstr>F</vt:lpstr>
      <vt:lpstr>flow_rate</vt:lpstr>
      <vt:lpstr>int_vel</vt:lpstr>
      <vt:lpstr>ionic_cap</vt:lpstr>
      <vt:lpstr>Kb</vt:lpstr>
      <vt:lpstr>keff_HMW</vt:lpstr>
      <vt:lpstr>keff_LMw</vt:lpstr>
      <vt:lpstr>keff_Monomer</vt:lpstr>
      <vt:lpstr>keff_pH</vt:lpstr>
      <vt:lpstr>keff_salt</vt:lpstr>
      <vt:lpstr>keff_vHMW</vt:lpstr>
      <vt:lpstr>keff_vLMW</vt:lpstr>
      <vt:lpstr>kf_HMW</vt:lpstr>
      <vt:lpstr>kf_LMW</vt:lpstr>
      <vt:lpstr>kf_Monomer</vt:lpstr>
      <vt:lpstr>kf_pH</vt:lpstr>
      <vt:lpstr>kf_salt</vt:lpstr>
      <vt:lpstr>kf_vHMW</vt:lpstr>
      <vt:lpstr>kf_vLMW</vt:lpstr>
      <vt:lpstr>kfilm_HMW</vt:lpstr>
      <vt:lpstr>kfilm_LMW</vt:lpstr>
      <vt:lpstr>kfilm_Monomer</vt:lpstr>
      <vt:lpstr>kfilm_pH</vt:lpstr>
      <vt:lpstr>kfilm_salt</vt:lpstr>
      <vt:lpstr>kfilm_vHMW</vt:lpstr>
      <vt:lpstr>kfilm_vLMW</vt:lpstr>
      <vt:lpstr>kp_HMW</vt:lpstr>
      <vt:lpstr>kp_LMW</vt:lpstr>
      <vt:lpstr>kp_Monomer</vt:lpstr>
      <vt:lpstr>kp_pH</vt:lpstr>
      <vt:lpstr>kp_salt</vt:lpstr>
      <vt:lpstr>kp_vHMW</vt:lpstr>
      <vt:lpstr>kp_vLMW</vt:lpstr>
      <vt:lpstr>L</vt:lpstr>
      <vt:lpstr>lambda_HMW</vt:lpstr>
      <vt:lpstr>lambda_LMW</vt:lpstr>
      <vt:lpstr>lambda_Monomer</vt:lpstr>
      <vt:lpstr>lambda_pH</vt:lpstr>
      <vt:lpstr>lambda_salt</vt:lpstr>
      <vt:lpstr>lambda_vHMW</vt:lpstr>
      <vt:lpstr>lambda_vLMW</vt:lpstr>
      <vt:lpstr>lin_vel</vt:lpstr>
      <vt:lpstr>MW_HMW</vt:lpstr>
      <vt:lpstr>MW_LMW</vt:lpstr>
      <vt:lpstr>MW_Monomer</vt:lpstr>
      <vt:lpstr>MW_pH</vt:lpstr>
      <vt:lpstr>MW_salt</vt:lpstr>
      <vt:lpstr>MW_vHMW</vt:lpstr>
      <vt:lpstr>MW_vLMW</vt:lpstr>
      <vt:lpstr>MWHMW</vt:lpstr>
      <vt:lpstr>MWpH</vt:lpstr>
      <vt:lpstr>MWsalt</vt:lpstr>
      <vt:lpstr>MWvHMW</vt:lpstr>
      <vt:lpstr>nu</vt:lpstr>
      <vt:lpstr>Pe</vt:lpstr>
      <vt:lpstr>psi_HMW</vt:lpstr>
      <vt:lpstr>psi_LMW</vt:lpstr>
      <vt:lpstr>psi_Monomer</vt:lpstr>
      <vt:lpstr>psi_pH</vt:lpstr>
      <vt:lpstr>psi_salt</vt:lpstr>
      <vt:lpstr>psi_vHMW</vt:lpstr>
      <vt:lpstr>psi_vLMW</vt:lpstr>
      <vt:lpstr>qR</vt:lpstr>
      <vt:lpstr>qRs</vt:lpstr>
      <vt:lpstr>Re</vt:lpstr>
      <vt:lpstr>residence_time</vt:lpstr>
      <vt:lpstr>rho</vt:lpstr>
      <vt:lpstr>Rhyd_HMW</vt:lpstr>
      <vt:lpstr>Rhyd_LMW</vt:lpstr>
      <vt:lpstr>Rhyd_Monomer</vt:lpstr>
      <vt:lpstr>Rhyd_pH</vt:lpstr>
      <vt:lpstr>Rhyd_salt</vt:lpstr>
      <vt:lpstr>Rhyd_vHMW</vt:lpstr>
      <vt:lpstr>Rhyd_vLMW</vt:lpstr>
      <vt:lpstr>Rpore</vt:lpstr>
      <vt:lpstr>Sc_HMW</vt:lpstr>
      <vt:lpstr>Sc_LMW</vt:lpstr>
      <vt:lpstr>Sc_Monomer</vt:lpstr>
      <vt:lpstr>Sc_pH</vt:lpstr>
      <vt:lpstr>Sc_salt</vt:lpstr>
      <vt:lpstr>Sc_vHMW</vt:lpstr>
      <vt:lpstr>Sc_vLMW</vt:lpstr>
      <vt:lpstr>Sh_HMW</vt:lpstr>
      <vt:lpstr>Sh_LMW</vt:lpstr>
      <vt:lpstr>Sh_Monomer</vt:lpstr>
      <vt:lpstr>Sh_pH</vt:lpstr>
      <vt:lpstr>Sh_salt</vt:lpstr>
      <vt:lpstr>Sh_vHMW</vt:lpstr>
      <vt:lpstr>Sh_vLMW</vt:lpstr>
      <vt:lpstr>T</vt:lpstr>
      <vt:lpstr>tau</vt:lpstr>
      <vt:lpstr>tubing_id</vt:lpstr>
      <vt:lpstr>tubing_vol</vt:lpstr>
      <vt:lpstr>tubingid</vt:lpstr>
      <vt:lpstr>tubingvol</vt:lpstr>
      <vt:lpstr>u</vt:lpstr>
      <vt:lpstr>V</vt:lpstr>
      <vt:lpstr>visc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Meilisa</dc:creator>
  <cp:lastModifiedBy>Altern, Scott H</cp:lastModifiedBy>
  <dcterms:created xsi:type="dcterms:W3CDTF">2015-06-05T18:17:20Z</dcterms:created>
  <dcterms:modified xsi:type="dcterms:W3CDTF">2025-05-24T21:41:50Z</dcterms:modified>
</cp:coreProperties>
</file>